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19\Протокол 93\2018\"/>
    </mc:Choice>
  </mc:AlternateContent>
  <bookViews>
    <workbookView xWindow="0" yWindow="180" windowWidth="19200" windowHeight="11115" tabRatio="670" activeTab="4"/>
  </bookViews>
  <sheets>
    <sheet name="КС" sheetId="42" r:id="rId1"/>
    <sheet name="ВМП" sheetId="41" r:id="rId2"/>
    <sheet name="ДС" sheetId="44" r:id="rId3"/>
    <sheet name="АПУ(посещ)" sheetId="27" r:id="rId4"/>
    <sheet name="АПУ(обращ.и  неот.)" sheetId="28" r:id="rId5"/>
    <sheet name="ЦЗ" sheetId="37" r:id="rId6"/>
    <sheet name="ЛДУ " sheetId="43" r:id="rId7"/>
    <sheet name="СМП " sheetId="39" r:id="rId8"/>
  </sheets>
  <definedNames>
    <definedName name="_xlnm.Print_Titles" localSheetId="4">'АПУ(обращ.и  неот.)'!$3:$7</definedName>
    <definedName name="_xlnm.Print_Titles" localSheetId="3">'АПУ(посещ)'!$3:$8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0" i="28" l="1"/>
  <c r="G180" i="28"/>
  <c r="H180" i="28"/>
  <c r="I180" i="28"/>
  <c r="J180" i="28"/>
  <c r="E180" i="28"/>
  <c r="C180" i="28"/>
  <c r="E179" i="28"/>
  <c r="D137" i="44" l="1"/>
  <c r="C137" i="44" s="1"/>
  <c r="F136" i="44"/>
  <c r="C136" i="44" s="1"/>
  <c r="F135" i="44"/>
  <c r="C135" i="44" s="1"/>
  <c r="D132" i="44"/>
  <c r="C132" i="44" s="1"/>
  <c r="D131" i="44"/>
  <c r="C131" i="44" s="1"/>
  <c r="D130" i="44"/>
  <c r="C130" i="44" s="1"/>
  <c r="D129" i="44"/>
  <c r="C129" i="44" s="1"/>
  <c r="D128" i="44"/>
  <c r="C128" i="44" s="1"/>
  <c r="E127" i="44"/>
  <c r="D127" i="44" s="1"/>
  <c r="C127" i="44" s="1"/>
  <c r="E126" i="44"/>
  <c r="D126" i="44"/>
  <c r="C126" i="44"/>
  <c r="D125" i="44"/>
  <c r="C125" i="44"/>
  <c r="D124" i="44"/>
  <c r="C124" i="44"/>
  <c r="D123" i="44"/>
  <c r="C123" i="44"/>
  <c r="D122" i="44"/>
  <c r="C122" i="44"/>
  <c r="C121" i="44"/>
  <c r="D120" i="44"/>
  <c r="C120" i="44" s="1"/>
  <c r="D119" i="44"/>
  <c r="C119" i="44" s="1"/>
  <c r="D118" i="44"/>
  <c r="C118" i="44" s="1"/>
  <c r="D117" i="44"/>
  <c r="C117" i="44" s="1"/>
  <c r="D116" i="44"/>
  <c r="C116" i="44" s="1"/>
  <c r="D115" i="44"/>
  <c r="C115" i="44" s="1"/>
  <c r="D114" i="44"/>
  <c r="C114" i="44" s="1"/>
  <c r="D113" i="44"/>
  <c r="C113" i="44" s="1"/>
  <c r="E112" i="44"/>
  <c r="D112" i="44" s="1"/>
  <c r="C112" i="44" s="1"/>
  <c r="D111" i="44"/>
  <c r="C111" i="44"/>
  <c r="D110" i="44"/>
  <c r="C110" i="44"/>
  <c r="D109" i="44"/>
  <c r="C109" i="44"/>
  <c r="D108" i="44"/>
  <c r="C108" i="44"/>
  <c r="D107" i="44"/>
  <c r="C107" i="44"/>
  <c r="D106" i="44"/>
  <c r="C106" i="44"/>
  <c r="D105" i="44"/>
  <c r="C105" i="44"/>
  <c r="D104" i="44"/>
  <c r="C104" i="44"/>
  <c r="D103" i="44"/>
  <c r="C103" i="44"/>
  <c r="D102" i="44"/>
  <c r="C102" i="44"/>
  <c r="D101" i="44"/>
  <c r="C101" i="44"/>
  <c r="D100" i="44"/>
  <c r="C100" i="44"/>
  <c r="D99" i="44"/>
  <c r="C99" i="44"/>
  <c r="D98" i="44"/>
  <c r="C98" i="44"/>
  <c r="D97" i="44"/>
  <c r="C97" i="44"/>
  <c r="D96" i="44"/>
  <c r="C96" i="44"/>
  <c r="D95" i="44"/>
  <c r="C95" i="44"/>
  <c r="D94" i="44"/>
  <c r="C94" i="44"/>
  <c r="D93" i="44"/>
  <c r="C93" i="44"/>
  <c r="D92" i="44"/>
  <c r="C92" i="44"/>
  <c r="D91" i="44"/>
  <c r="C91" i="44"/>
  <c r="D90" i="44"/>
  <c r="C90" i="44"/>
  <c r="D89" i="44"/>
  <c r="C89" i="44"/>
  <c r="D88" i="44"/>
  <c r="C88" i="44"/>
  <c r="D87" i="44"/>
  <c r="C87" i="44"/>
  <c r="D86" i="44"/>
  <c r="C86" i="44"/>
  <c r="D85" i="44"/>
  <c r="C85" i="44"/>
  <c r="D84" i="44"/>
  <c r="C84" i="44"/>
  <c r="C83" i="44"/>
  <c r="D82" i="44"/>
  <c r="C82" i="44" s="1"/>
  <c r="D81" i="44"/>
  <c r="C81" i="44" s="1"/>
  <c r="D80" i="44"/>
  <c r="C80" i="44" s="1"/>
  <c r="D79" i="44"/>
  <c r="C79" i="44" s="1"/>
  <c r="D78" i="44"/>
  <c r="C78" i="44" s="1"/>
  <c r="D77" i="44"/>
  <c r="C77" i="44" s="1"/>
  <c r="D76" i="44"/>
  <c r="C76" i="44" s="1"/>
  <c r="C75" i="44"/>
  <c r="D74" i="44"/>
  <c r="C74" i="44" s="1"/>
  <c r="D73" i="44"/>
  <c r="C73" i="44" s="1"/>
  <c r="D72" i="44"/>
  <c r="C72" i="44" s="1"/>
  <c r="D71" i="44"/>
  <c r="C71" i="44" s="1"/>
  <c r="D70" i="44"/>
  <c r="C70" i="44" s="1"/>
  <c r="D69" i="44"/>
  <c r="C69" i="44" s="1"/>
  <c r="C68" i="44"/>
  <c r="D67" i="44"/>
  <c r="C67" i="44" s="1"/>
  <c r="D66" i="44"/>
  <c r="C66" i="44" s="1"/>
  <c r="D65" i="44"/>
  <c r="C65" i="44" s="1"/>
  <c r="C64" i="44"/>
  <c r="D63" i="44"/>
  <c r="C63" i="44"/>
  <c r="D62" i="44"/>
  <c r="C62" i="44"/>
  <c r="D61" i="44"/>
  <c r="C61" i="44"/>
  <c r="D60" i="44"/>
  <c r="C60" i="44"/>
  <c r="D59" i="44"/>
  <c r="C59" i="44"/>
  <c r="D58" i="44"/>
  <c r="C58" i="44"/>
  <c r="D57" i="44"/>
  <c r="C57" i="44"/>
  <c r="D56" i="44"/>
  <c r="C56" i="44"/>
  <c r="D55" i="44"/>
  <c r="C55" i="44"/>
  <c r="D54" i="44"/>
  <c r="C54" i="44"/>
  <c r="C53" i="44"/>
  <c r="D52" i="44"/>
  <c r="C52" i="44" s="1"/>
  <c r="D51" i="44"/>
  <c r="C51" i="44" s="1"/>
  <c r="C50" i="44"/>
  <c r="D49" i="44"/>
  <c r="C49" i="44"/>
  <c r="C48" i="44"/>
  <c r="D47" i="44"/>
  <c r="C47" i="44" s="1"/>
  <c r="D46" i="44"/>
  <c r="C46" i="44" s="1"/>
  <c r="D45" i="44"/>
  <c r="C45" i="44" s="1"/>
  <c r="D44" i="44"/>
  <c r="C44" i="44" s="1"/>
  <c r="D43" i="44"/>
  <c r="C43" i="44" s="1"/>
  <c r="D42" i="44"/>
  <c r="C42" i="44" s="1"/>
  <c r="D41" i="44"/>
  <c r="C41" i="44" s="1"/>
  <c r="D40" i="44"/>
  <c r="C40" i="44" s="1"/>
  <c r="D39" i="44"/>
  <c r="C39" i="44" s="1"/>
  <c r="D38" i="44"/>
  <c r="C38" i="44" s="1"/>
  <c r="D37" i="44"/>
  <c r="C37" i="44" s="1"/>
  <c r="D36" i="44"/>
  <c r="C36" i="44" s="1"/>
  <c r="C35" i="44"/>
  <c r="D34" i="44"/>
  <c r="C34" i="44"/>
  <c r="D33" i="44"/>
  <c r="C33" i="44"/>
  <c r="C32" i="44"/>
  <c r="D31" i="44"/>
  <c r="C31" i="44" s="1"/>
  <c r="D30" i="44"/>
  <c r="C30" i="44" s="1"/>
  <c r="C29" i="44"/>
  <c r="D28" i="44"/>
  <c r="C28" i="44"/>
  <c r="C27" i="44"/>
  <c r="D26" i="44"/>
  <c r="C26" i="44" s="1"/>
  <c r="D25" i="44"/>
  <c r="C25" i="44" s="1"/>
  <c r="C24" i="44"/>
  <c r="D23" i="44"/>
  <c r="C23" i="44"/>
  <c r="D22" i="44"/>
  <c r="C22" i="44"/>
  <c r="D21" i="44"/>
  <c r="C21" i="44"/>
  <c r="D20" i="44"/>
  <c r="C20" i="44"/>
  <c r="D19" i="44"/>
  <c r="C19" i="44"/>
  <c r="D18" i="44"/>
  <c r="C18" i="44"/>
  <c r="D17" i="44"/>
  <c r="C17" i="44"/>
  <c r="D16" i="44"/>
  <c r="C16" i="44"/>
  <c r="C15" i="44"/>
  <c r="D14" i="44"/>
  <c r="C14" i="44" s="1"/>
  <c r="D13" i="44"/>
  <c r="C13" i="44" s="1"/>
  <c r="D12" i="44"/>
  <c r="C12" i="44" s="1"/>
  <c r="D11" i="44"/>
  <c r="C11" i="44" s="1"/>
  <c r="C10" i="44"/>
  <c r="D9" i="44"/>
  <c r="C9" i="44"/>
  <c r="D8" i="44"/>
  <c r="C8" i="44"/>
  <c r="F133" i="44" l="1"/>
  <c r="D138" i="44"/>
  <c r="F138" i="44"/>
  <c r="C133" i="44"/>
  <c r="C138" i="44" s="1"/>
  <c r="E138" i="44"/>
  <c r="O50" i="43"/>
  <c r="N50" i="43"/>
  <c r="G49" i="43"/>
  <c r="J49" i="43" s="1"/>
  <c r="B49" i="43" s="1"/>
  <c r="F49" i="43"/>
  <c r="J48" i="43"/>
  <c r="D48" i="43"/>
  <c r="C48" i="43"/>
  <c r="F48" i="43" s="1"/>
  <c r="B48" i="43" s="1"/>
  <c r="G47" i="43"/>
  <c r="J47" i="43" s="1"/>
  <c r="F47" i="43"/>
  <c r="J46" i="43"/>
  <c r="F46" i="43"/>
  <c r="B46" i="43"/>
  <c r="I45" i="43"/>
  <c r="H45" i="43"/>
  <c r="G45" i="43"/>
  <c r="J45" i="43" s="1"/>
  <c r="F45" i="43"/>
  <c r="J44" i="43"/>
  <c r="F44" i="43"/>
  <c r="B44" i="43" s="1"/>
  <c r="F43" i="43"/>
  <c r="B43" i="43"/>
  <c r="F42" i="43"/>
  <c r="B42" i="43" s="1"/>
  <c r="F41" i="43"/>
  <c r="B41" i="43"/>
  <c r="F40" i="43"/>
  <c r="B40" i="43" s="1"/>
  <c r="C40" i="43"/>
  <c r="F39" i="43"/>
  <c r="B39" i="43"/>
  <c r="F38" i="43"/>
  <c r="B38" i="43" s="1"/>
  <c r="J37" i="43"/>
  <c r="F37" i="43"/>
  <c r="B37" i="43" s="1"/>
  <c r="E36" i="43"/>
  <c r="D36" i="43"/>
  <c r="C36" i="43"/>
  <c r="F35" i="43"/>
  <c r="B35" i="43"/>
  <c r="F34" i="43"/>
  <c r="B34" i="43" s="1"/>
  <c r="D34" i="43"/>
  <c r="C33" i="43"/>
  <c r="F33" i="43" s="1"/>
  <c r="B33" i="43" s="1"/>
  <c r="E32" i="43"/>
  <c r="F32" i="43" s="1"/>
  <c r="B32" i="43" s="1"/>
  <c r="M31" i="43"/>
  <c r="I31" i="43"/>
  <c r="H31" i="43"/>
  <c r="J31" i="43" s="1"/>
  <c r="E31" i="43"/>
  <c r="D31" i="43"/>
  <c r="C31" i="43"/>
  <c r="M30" i="43"/>
  <c r="F30" i="43"/>
  <c r="B30" i="43" s="1"/>
  <c r="L29" i="43"/>
  <c r="L50" i="43" s="1"/>
  <c r="K29" i="43"/>
  <c r="M29" i="43" s="1"/>
  <c r="I29" i="43"/>
  <c r="J29" i="43" s="1"/>
  <c r="G29" i="43"/>
  <c r="E29" i="43"/>
  <c r="C29" i="43"/>
  <c r="F29" i="43" s="1"/>
  <c r="J28" i="43"/>
  <c r="F28" i="43"/>
  <c r="B28" i="43" s="1"/>
  <c r="G27" i="43"/>
  <c r="J27" i="43" s="1"/>
  <c r="F27" i="43"/>
  <c r="E27" i="43"/>
  <c r="C27" i="43"/>
  <c r="M26" i="43"/>
  <c r="C26" i="43"/>
  <c r="F26" i="43" s="1"/>
  <c r="B26" i="43" s="1"/>
  <c r="H25" i="43"/>
  <c r="H50" i="43" s="1"/>
  <c r="G25" i="43"/>
  <c r="F25" i="43"/>
  <c r="E25" i="43"/>
  <c r="C25" i="43"/>
  <c r="D24" i="43"/>
  <c r="F24" i="43" s="1"/>
  <c r="B24" i="43" s="1"/>
  <c r="C24" i="43"/>
  <c r="J23" i="43"/>
  <c r="C23" i="43"/>
  <c r="F23" i="43" s="1"/>
  <c r="B23" i="43" s="1"/>
  <c r="C22" i="43"/>
  <c r="F22" i="43" s="1"/>
  <c r="B22" i="43" s="1"/>
  <c r="C21" i="43"/>
  <c r="F21" i="43" s="1"/>
  <c r="B21" i="43" s="1"/>
  <c r="F20" i="43"/>
  <c r="B20" i="43" s="1"/>
  <c r="C19" i="43"/>
  <c r="F19" i="43" s="1"/>
  <c r="B19" i="43" s="1"/>
  <c r="E18" i="43"/>
  <c r="D18" i="43"/>
  <c r="C18" i="43"/>
  <c r="C17" i="43"/>
  <c r="F17" i="43" s="1"/>
  <c r="B17" i="43" s="1"/>
  <c r="N16" i="43"/>
  <c r="J16" i="43"/>
  <c r="E16" i="43"/>
  <c r="D16" i="43"/>
  <c r="C16" i="43"/>
  <c r="C15" i="43"/>
  <c r="F15" i="43" s="1"/>
  <c r="B15" i="43" s="1"/>
  <c r="D14" i="43"/>
  <c r="F14" i="43" s="1"/>
  <c r="B14" i="43" s="1"/>
  <c r="C14" i="43"/>
  <c r="F13" i="43"/>
  <c r="B13" i="43" s="1"/>
  <c r="C12" i="43"/>
  <c r="F12" i="43" s="1"/>
  <c r="B12" i="43" s="1"/>
  <c r="F11" i="43"/>
  <c r="B11" i="43"/>
  <c r="C10" i="43"/>
  <c r="F10" i="43" s="1"/>
  <c r="B10" i="43" s="1"/>
  <c r="E9" i="43"/>
  <c r="D9" i="43"/>
  <c r="C9" i="43"/>
  <c r="F8" i="43"/>
  <c r="B8" i="43" s="1"/>
  <c r="C8" i="43"/>
  <c r="C7" i="43"/>
  <c r="F6" i="43"/>
  <c r="B6" i="43"/>
  <c r="D5" i="43"/>
  <c r="B29" i="43" l="1"/>
  <c r="G50" i="43"/>
  <c r="B27" i="43"/>
  <c r="C50" i="43"/>
  <c r="F31" i="43"/>
  <c r="B31" i="43" s="1"/>
  <c r="I50" i="43"/>
  <c r="D50" i="43"/>
  <c r="F9" i="43"/>
  <c r="B9" i="43" s="1"/>
  <c r="F5" i="43"/>
  <c r="B5" i="43" s="1"/>
  <c r="E50" i="43"/>
  <c r="F16" i="43"/>
  <c r="B16" i="43" s="1"/>
  <c r="F18" i="43"/>
  <c r="B18" i="43" s="1"/>
  <c r="J25" i="43"/>
  <c r="B25" i="43" s="1"/>
  <c r="F36" i="43"/>
  <c r="B36" i="43" s="1"/>
  <c r="B47" i="43"/>
  <c r="B45" i="43"/>
  <c r="M50" i="43"/>
  <c r="F50" i="43"/>
  <c r="F7" i="43"/>
  <c r="B7" i="43" s="1"/>
  <c r="K50" i="43"/>
  <c r="J50" i="43" l="1"/>
  <c r="B50" i="43"/>
  <c r="J67" i="39"/>
  <c r="E66" i="39"/>
  <c r="C66" i="39" s="1"/>
  <c r="G65" i="39"/>
  <c r="F65" i="39"/>
  <c r="E65" i="39" s="1"/>
  <c r="C65" i="39" s="1"/>
  <c r="G64" i="39"/>
  <c r="F64" i="39"/>
  <c r="E64" i="39" s="1"/>
  <c r="C64" i="39" s="1"/>
  <c r="G63" i="39"/>
  <c r="F63" i="39"/>
  <c r="E63" i="39" s="1"/>
  <c r="C63" i="39" s="1"/>
  <c r="G62" i="39"/>
  <c r="F62" i="39"/>
  <c r="E62" i="39" s="1"/>
  <c r="C62" i="39" s="1"/>
  <c r="G61" i="39"/>
  <c r="F61" i="39"/>
  <c r="E61" i="39" s="1"/>
  <c r="C61" i="39" s="1"/>
  <c r="G60" i="39"/>
  <c r="F60" i="39"/>
  <c r="E60" i="39" s="1"/>
  <c r="C60" i="39" s="1"/>
  <c r="F59" i="39"/>
  <c r="E59" i="39"/>
  <c r="C59" i="39" s="1"/>
  <c r="G58" i="39"/>
  <c r="F58" i="39"/>
  <c r="E58" i="39" s="1"/>
  <c r="C58" i="39" s="1"/>
  <c r="G57" i="39"/>
  <c r="F57" i="39"/>
  <c r="E57" i="39" s="1"/>
  <c r="C57" i="39" s="1"/>
  <c r="G56" i="39"/>
  <c r="F56" i="39"/>
  <c r="E56" i="39"/>
  <c r="C56" i="39" s="1"/>
  <c r="I55" i="39"/>
  <c r="H55" i="39"/>
  <c r="G55" i="39"/>
  <c r="F55" i="39"/>
  <c r="E55" i="39" s="1"/>
  <c r="C55" i="39" s="1"/>
  <c r="D55" i="39"/>
  <c r="F54" i="39"/>
  <c r="E54" i="39" s="1"/>
  <c r="C54" i="39" s="1"/>
  <c r="G53" i="39"/>
  <c r="F53" i="39"/>
  <c r="E53" i="39"/>
  <c r="C53" i="39" s="1"/>
  <c r="G52" i="39"/>
  <c r="F52" i="39"/>
  <c r="E52" i="39"/>
  <c r="C52" i="39" s="1"/>
  <c r="G51" i="39"/>
  <c r="F51" i="39"/>
  <c r="E51" i="39" s="1"/>
  <c r="C51" i="39" s="1"/>
  <c r="I50" i="39"/>
  <c r="H50" i="39"/>
  <c r="E50" i="39" s="1"/>
  <c r="C50" i="39" s="1"/>
  <c r="G50" i="39"/>
  <c r="F50" i="39"/>
  <c r="G49" i="39"/>
  <c r="F49" i="39"/>
  <c r="E49" i="39" s="1"/>
  <c r="C49" i="39" s="1"/>
  <c r="G48" i="39"/>
  <c r="F48" i="39"/>
  <c r="E48" i="39" s="1"/>
  <c r="C48" i="39" s="1"/>
  <c r="G47" i="39"/>
  <c r="F47" i="39"/>
  <c r="E47" i="39"/>
  <c r="C47" i="39" s="1"/>
  <c r="G46" i="39"/>
  <c r="F46" i="39"/>
  <c r="E46" i="39"/>
  <c r="C46" i="39" s="1"/>
  <c r="G45" i="39"/>
  <c r="F45" i="39"/>
  <c r="E45" i="39" s="1"/>
  <c r="C45" i="39" s="1"/>
  <c r="G44" i="39"/>
  <c r="F44" i="39"/>
  <c r="E44" i="39" s="1"/>
  <c r="C44" i="39" s="1"/>
  <c r="I43" i="39"/>
  <c r="H43" i="39"/>
  <c r="F43" i="39"/>
  <c r="E43" i="39" s="1"/>
  <c r="C43" i="39" s="1"/>
  <c r="G42" i="39"/>
  <c r="F42" i="39"/>
  <c r="E42" i="39" s="1"/>
  <c r="C42" i="39" s="1"/>
  <c r="G41" i="39"/>
  <c r="F41" i="39"/>
  <c r="E41" i="39" s="1"/>
  <c r="C41" i="39" s="1"/>
  <c r="G40" i="39"/>
  <c r="F40" i="39"/>
  <c r="E40" i="39" s="1"/>
  <c r="C40" i="39" s="1"/>
  <c r="I39" i="39"/>
  <c r="F39" i="39"/>
  <c r="E39" i="39" s="1"/>
  <c r="C39" i="39" s="1"/>
  <c r="G38" i="39"/>
  <c r="F38" i="39"/>
  <c r="E38" i="39" s="1"/>
  <c r="D38" i="39"/>
  <c r="D67" i="39" s="1"/>
  <c r="G37" i="39"/>
  <c r="F37" i="39"/>
  <c r="E37" i="39"/>
  <c r="C37" i="39" s="1"/>
  <c r="G36" i="39"/>
  <c r="F36" i="39"/>
  <c r="E36" i="39" s="1"/>
  <c r="C36" i="39" s="1"/>
  <c r="G35" i="39"/>
  <c r="F35" i="39"/>
  <c r="E35" i="39"/>
  <c r="C35" i="39" s="1"/>
  <c r="G34" i="39"/>
  <c r="F34" i="39"/>
  <c r="E34" i="39"/>
  <c r="C34" i="39" s="1"/>
  <c r="G33" i="39"/>
  <c r="F33" i="39"/>
  <c r="E33" i="39"/>
  <c r="C33" i="39" s="1"/>
  <c r="G32" i="39"/>
  <c r="F32" i="39"/>
  <c r="E32" i="39" s="1"/>
  <c r="C32" i="39" s="1"/>
  <c r="G31" i="39"/>
  <c r="F31" i="39"/>
  <c r="E31" i="39"/>
  <c r="C31" i="39" s="1"/>
  <c r="G30" i="39"/>
  <c r="F30" i="39"/>
  <c r="E30" i="39"/>
  <c r="C30" i="39" s="1"/>
  <c r="G29" i="39"/>
  <c r="F29" i="39"/>
  <c r="E29" i="39"/>
  <c r="C29" i="39" s="1"/>
  <c r="G28" i="39"/>
  <c r="F28" i="39"/>
  <c r="E28" i="39" s="1"/>
  <c r="C28" i="39" s="1"/>
  <c r="G27" i="39"/>
  <c r="F27" i="39"/>
  <c r="E27" i="39"/>
  <c r="C27" i="39" s="1"/>
  <c r="G26" i="39"/>
  <c r="F26" i="39"/>
  <c r="E26" i="39"/>
  <c r="C26" i="39" s="1"/>
  <c r="G25" i="39"/>
  <c r="F25" i="39"/>
  <c r="E25" i="39"/>
  <c r="C25" i="39" s="1"/>
  <c r="G24" i="39"/>
  <c r="F24" i="39"/>
  <c r="E24" i="39" s="1"/>
  <c r="C24" i="39" s="1"/>
  <c r="G23" i="39"/>
  <c r="F23" i="39"/>
  <c r="E23" i="39"/>
  <c r="C23" i="39" s="1"/>
  <c r="G22" i="39"/>
  <c r="F22" i="39"/>
  <c r="E22" i="39"/>
  <c r="C22" i="39" s="1"/>
  <c r="G21" i="39"/>
  <c r="F21" i="39"/>
  <c r="E21" i="39"/>
  <c r="C21" i="39" s="1"/>
  <c r="G20" i="39"/>
  <c r="F20" i="39"/>
  <c r="E20" i="39" s="1"/>
  <c r="C20" i="39" s="1"/>
  <c r="G19" i="39"/>
  <c r="F19" i="39"/>
  <c r="E19" i="39"/>
  <c r="C19" i="39" s="1"/>
  <c r="G18" i="39"/>
  <c r="F18" i="39"/>
  <c r="E18" i="39"/>
  <c r="C18" i="39" s="1"/>
  <c r="I17" i="39"/>
  <c r="G17" i="39"/>
  <c r="F17" i="39"/>
  <c r="E17" i="39" s="1"/>
  <c r="C17" i="39" s="1"/>
  <c r="G16" i="39"/>
  <c r="F16" i="39"/>
  <c r="E16" i="39" s="1"/>
  <c r="C16" i="39" s="1"/>
  <c r="G15" i="39"/>
  <c r="F15" i="39"/>
  <c r="E15" i="39" s="1"/>
  <c r="C15" i="39" s="1"/>
  <c r="G14" i="39"/>
  <c r="F14" i="39"/>
  <c r="E14" i="39" s="1"/>
  <c r="C14" i="39" s="1"/>
  <c r="G13" i="39"/>
  <c r="F13" i="39"/>
  <c r="E13" i="39" s="1"/>
  <c r="C13" i="39" s="1"/>
  <c r="G12" i="39"/>
  <c r="F12" i="39"/>
  <c r="E12" i="39" s="1"/>
  <c r="C12" i="39" s="1"/>
  <c r="G11" i="39"/>
  <c r="F11" i="39"/>
  <c r="E11" i="39" s="1"/>
  <c r="C11" i="39" s="1"/>
  <c r="G10" i="39"/>
  <c r="F10" i="39"/>
  <c r="E10" i="39" s="1"/>
  <c r="C10" i="39" s="1"/>
  <c r="G9" i="39"/>
  <c r="F9" i="39"/>
  <c r="E9" i="39" s="1"/>
  <c r="C9" i="39" s="1"/>
  <c r="G8" i="39"/>
  <c r="F8" i="39"/>
  <c r="E8" i="39" s="1"/>
  <c r="C8" i="39" s="1"/>
  <c r="I7" i="39"/>
  <c r="H7" i="39"/>
  <c r="G7" i="39"/>
  <c r="F7" i="39"/>
  <c r="F67" i="39" s="1"/>
  <c r="H67" i="39" l="1"/>
  <c r="I67" i="39"/>
  <c r="G67" i="39"/>
  <c r="C38" i="39"/>
  <c r="E7" i="39"/>
  <c r="C7" i="39" l="1"/>
  <c r="C67" i="39" s="1"/>
  <c r="E67" i="39"/>
  <c r="X74" i="41" l="1"/>
  <c r="U73" i="41"/>
  <c r="X73" i="41" s="1"/>
  <c r="W72" i="41"/>
  <c r="V72" i="41"/>
  <c r="U72" i="41"/>
  <c r="T72" i="41"/>
  <c r="S72" i="41"/>
  <c r="R72" i="41"/>
  <c r="Q72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B72" i="41"/>
  <c r="X71" i="41"/>
  <c r="U71" i="41"/>
  <c r="W70" i="41"/>
  <c r="V70" i="41"/>
  <c r="U70" i="41"/>
  <c r="T70" i="41"/>
  <c r="S70" i="41"/>
  <c r="R70" i="41"/>
  <c r="Q70" i="41"/>
  <c r="P70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B70" i="41"/>
  <c r="X69" i="41"/>
  <c r="V68" i="41"/>
  <c r="U68" i="41"/>
  <c r="X68" i="41" s="1"/>
  <c r="W67" i="41"/>
  <c r="V67" i="41"/>
  <c r="U67" i="41"/>
  <c r="T67" i="41"/>
  <c r="S67" i="41"/>
  <c r="R67" i="41"/>
  <c r="Q67" i="41"/>
  <c r="P67" i="41"/>
  <c r="O67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B67" i="41"/>
  <c r="X67" i="41" s="1"/>
  <c r="H66" i="41"/>
  <c r="X66" i="41" s="1"/>
  <c r="K65" i="41"/>
  <c r="X65" i="41" s="1"/>
  <c r="X64" i="41"/>
  <c r="L63" i="41"/>
  <c r="K63" i="41"/>
  <c r="K61" i="41" s="1"/>
  <c r="H63" i="41"/>
  <c r="B63" i="41"/>
  <c r="X63" i="41" s="1"/>
  <c r="U62" i="41"/>
  <c r="X62" i="41" s="1"/>
  <c r="W61" i="41"/>
  <c r="V61" i="41"/>
  <c r="U61" i="41"/>
  <c r="T61" i="41"/>
  <c r="S61" i="41"/>
  <c r="R61" i="41"/>
  <c r="Q61" i="41"/>
  <c r="P61" i="41"/>
  <c r="O61" i="41"/>
  <c r="N61" i="41"/>
  <c r="M61" i="41"/>
  <c r="L61" i="41"/>
  <c r="J61" i="41"/>
  <c r="I61" i="41"/>
  <c r="H61" i="41"/>
  <c r="G61" i="41"/>
  <c r="F61" i="41"/>
  <c r="E61" i="41"/>
  <c r="D61" i="41"/>
  <c r="C61" i="41"/>
  <c r="X60" i="41"/>
  <c r="X59" i="41"/>
  <c r="W58" i="41"/>
  <c r="V58" i="41"/>
  <c r="U58" i="41"/>
  <c r="T58" i="41"/>
  <c r="S58" i="41"/>
  <c r="R58" i="41"/>
  <c r="Q58" i="41"/>
  <c r="P58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B58" i="41"/>
  <c r="X57" i="41"/>
  <c r="V57" i="41"/>
  <c r="X56" i="41"/>
  <c r="X55" i="41"/>
  <c r="X54" i="41"/>
  <c r="V53" i="41"/>
  <c r="X53" i="41" s="1"/>
  <c r="K52" i="41"/>
  <c r="X52" i="41" s="1"/>
  <c r="X51" i="41"/>
  <c r="V50" i="41"/>
  <c r="X49" i="41"/>
  <c r="V49" i="41"/>
  <c r="X48" i="41"/>
  <c r="W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B47" i="41"/>
  <c r="X46" i="41"/>
  <c r="W45" i="41"/>
  <c r="V45" i="41"/>
  <c r="U45" i="41"/>
  <c r="T45" i="41"/>
  <c r="S45" i="41"/>
  <c r="R45" i="41"/>
  <c r="Q45" i="41"/>
  <c r="P45" i="41"/>
  <c r="O45" i="41"/>
  <c r="N45" i="41"/>
  <c r="M45" i="41"/>
  <c r="L45" i="41"/>
  <c r="K45" i="41"/>
  <c r="J45" i="41"/>
  <c r="I45" i="41"/>
  <c r="H45" i="41"/>
  <c r="G45" i="41"/>
  <c r="F45" i="41"/>
  <c r="E45" i="41"/>
  <c r="D45" i="41"/>
  <c r="C45" i="41"/>
  <c r="B45" i="41"/>
  <c r="X44" i="41"/>
  <c r="X43" i="41"/>
  <c r="X42" i="41"/>
  <c r="W41" i="41"/>
  <c r="V41" i="41"/>
  <c r="U41" i="41"/>
  <c r="T41" i="41"/>
  <c r="S41" i="41"/>
  <c r="R41" i="41"/>
  <c r="Q41" i="41"/>
  <c r="P41" i="41"/>
  <c r="O41" i="41"/>
  <c r="N41" i="41"/>
  <c r="M41" i="41"/>
  <c r="L41" i="41"/>
  <c r="K41" i="41"/>
  <c r="J41" i="41"/>
  <c r="I41" i="41"/>
  <c r="H41" i="41"/>
  <c r="G41" i="41"/>
  <c r="F41" i="41"/>
  <c r="E41" i="41"/>
  <c r="D41" i="41"/>
  <c r="C41" i="41"/>
  <c r="B41" i="41"/>
  <c r="X40" i="41"/>
  <c r="U39" i="41"/>
  <c r="N39" i="41"/>
  <c r="X39" i="41" s="1"/>
  <c r="W38" i="41"/>
  <c r="V38" i="41"/>
  <c r="U38" i="41"/>
  <c r="T38" i="41"/>
  <c r="S38" i="41"/>
  <c r="R38" i="41"/>
  <c r="Q38" i="41"/>
  <c r="P38" i="41"/>
  <c r="O38" i="41"/>
  <c r="M38" i="41"/>
  <c r="L38" i="41"/>
  <c r="K38" i="41"/>
  <c r="J38" i="41"/>
  <c r="I38" i="41"/>
  <c r="H38" i="41"/>
  <c r="G38" i="41"/>
  <c r="F38" i="41"/>
  <c r="E38" i="41"/>
  <c r="D38" i="41"/>
  <c r="C38" i="41"/>
  <c r="B38" i="41"/>
  <c r="G37" i="41"/>
  <c r="X37" i="41" s="1"/>
  <c r="X36" i="41"/>
  <c r="W35" i="41"/>
  <c r="V35" i="41"/>
  <c r="U35" i="41"/>
  <c r="T35" i="41"/>
  <c r="S35" i="41"/>
  <c r="R35" i="41"/>
  <c r="Q35" i="41"/>
  <c r="P35" i="41"/>
  <c r="O35" i="41"/>
  <c r="N35" i="41"/>
  <c r="M35" i="41"/>
  <c r="L35" i="41"/>
  <c r="K35" i="41"/>
  <c r="J35" i="41"/>
  <c r="I35" i="41"/>
  <c r="H35" i="41"/>
  <c r="F35" i="41"/>
  <c r="E35" i="41"/>
  <c r="D35" i="41"/>
  <c r="C35" i="41"/>
  <c r="B35" i="41"/>
  <c r="U34" i="41"/>
  <c r="X34" i="41" s="1"/>
  <c r="X33" i="41"/>
  <c r="X32" i="41"/>
  <c r="V32" i="41"/>
  <c r="W31" i="41"/>
  <c r="V31" i="41"/>
  <c r="U31" i="41"/>
  <c r="T31" i="41"/>
  <c r="S31" i="41"/>
  <c r="R31" i="41"/>
  <c r="Q31" i="41"/>
  <c r="P31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B31" i="41"/>
  <c r="X30" i="41"/>
  <c r="V30" i="41"/>
  <c r="V29" i="41"/>
  <c r="X29" i="41" s="1"/>
  <c r="U29" i="41"/>
  <c r="W28" i="41"/>
  <c r="U28" i="41"/>
  <c r="T28" i="41"/>
  <c r="S28" i="41"/>
  <c r="R28" i="41"/>
  <c r="Q28" i="41"/>
  <c r="P28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C28" i="41"/>
  <c r="B28" i="41"/>
  <c r="X27" i="41"/>
  <c r="B26" i="41"/>
  <c r="X26" i="41" s="1"/>
  <c r="X25" i="41"/>
  <c r="H25" i="41"/>
  <c r="B24" i="41"/>
  <c r="X24" i="41" s="1"/>
  <c r="X23" i="41"/>
  <c r="U22" i="41"/>
  <c r="U21" i="41" s="1"/>
  <c r="K22" i="41"/>
  <c r="K21" i="41" s="1"/>
  <c r="B22" i="41"/>
  <c r="X22" i="41" s="1"/>
  <c r="W21" i="41"/>
  <c r="V21" i="41"/>
  <c r="T21" i="41"/>
  <c r="S21" i="41"/>
  <c r="R21" i="41"/>
  <c r="Q21" i="41"/>
  <c r="P21" i="41"/>
  <c r="O21" i="41"/>
  <c r="N21" i="41"/>
  <c r="M21" i="41"/>
  <c r="L21" i="41"/>
  <c r="J21" i="41"/>
  <c r="I21" i="41"/>
  <c r="H21" i="41"/>
  <c r="G21" i="41"/>
  <c r="F21" i="41"/>
  <c r="E21" i="41"/>
  <c r="D21" i="41"/>
  <c r="C21" i="41"/>
  <c r="X20" i="41"/>
  <c r="X19" i="41"/>
  <c r="W18" i="41"/>
  <c r="V18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X17" i="41"/>
  <c r="W16" i="41"/>
  <c r="V16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X15" i="41"/>
  <c r="W14" i="41"/>
  <c r="V14" i="41"/>
  <c r="U14" i="41"/>
  <c r="T14" i="4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B14" i="41"/>
  <c r="X14" i="41" s="1"/>
  <c r="X13" i="41"/>
  <c r="X12" i="41"/>
  <c r="W11" i="41"/>
  <c r="U11" i="41"/>
  <c r="S11" i="41"/>
  <c r="R11" i="41"/>
  <c r="Q11" i="41"/>
  <c r="P11" i="41"/>
  <c r="O11" i="41"/>
  <c r="N11" i="41"/>
  <c r="M11" i="41"/>
  <c r="J11" i="41"/>
  <c r="I11" i="41"/>
  <c r="H11" i="41"/>
  <c r="G11" i="41"/>
  <c r="F11" i="41"/>
  <c r="E11" i="41"/>
  <c r="D11" i="41"/>
  <c r="C11" i="41"/>
  <c r="B11" i="41"/>
  <c r="X10" i="41"/>
  <c r="W9" i="41"/>
  <c r="V9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X9" i="41" s="1"/>
  <c r="B9" i="41"/>
  <c r="M8" i="41"/>
  <c r="M6" i="41" s="1"/>
  <c r="V7" i="41"/>
  <c r="V6" i="41" s="1"/>
  <c r="W6" i="41"/>
  <c r="U6" i="41"/>
  <c r="T6" i="41"/>
  <c r="S6" i="41"/>
  <c r="R6" i="41"/>
  <c r="Q6" i="41"/>
  <c r="P6" i="41"/>
  <c r="O6" i="41"/>
  <c r="N6" i="41"/>
  <c r="L6" i="41"/>
  <c r="K6" i="41"/>
  <c r="J6" i="41"/>
  <c r="I6" i="41"/>
  <c r="H6" i="41"/>
  <c r="G6" i="41"/>
  <c r="F6" i="41"/>
  <c r="E6" i="41"/>
  <c r="D6" i="41"/>
  <c r="C6" i="41"/>
  <c r="B6" i="41"/>
  <c r="X5" i="41"/>
  <c r="X3" i="41" s="1"/>
  <c r="X4" i="41"/>
  <c r="W3" i="41"/>
  <c r="V3" i="41"/>
  <c r="U3" i="41"/>
  <c r="T3" i="41"/>
  <c r="S3" i="41"/>
  <c r="R3" i="41"/>
  <c r="Q3" i="41"/>
  <c r="P3" i="41"/>
  <c r="O3" i="41"/>
  <c r="N3" i="41"/>
  <c r="M3" i="41"/>
  <c r="L3" i="41"/>
  <c r="K3" i="41"/>
  <c r="J3" i="41"/>
  <c r="I3" i="41"/>
  <c r="H3" i="41"/>
  <c r="G3" i="41"/>
  <c r="F3" i="41"/>
  <c r="E3" i="41"/>
  <c r="D3" i="41"/>
  <c r="C3" i="41"/>
  <c r="B3" i="41"/>
  <c r="X7" i="41" l="1"/>
  <c r="X16" i="41"/>
  <c r="X28" i="41"/>
  <c r="V28" i="41"/>
  <c r="X41" i="41"/>
  <c r="W75" i="41"/>
  <c r="V47" i="41"/>
  <c r="X70" i="41"/>
  <c r="F75" i="41"/>
  <c r="J75" i="41"/>
  <c r="R75" i="41"/>
  <c r="C75" i="41"/>
  <c r="O75" i="41"/>
  <c r="S75" i="41"/>
  <c r="X6" i="41"/>
  <c r="X11" i="41"/>
  <c r="X31" i="41"/>
  <c r="X45" i="41"/>
  <c r="X58" i="41"/>
  <c r="L75" i="41"/>
  <c r="P75" i="41"/>
  <c r="T75" i="41"/>
  <c r="X18" i="41"/>
  <c r="D75" i="41"/>
  <c r="H75" i="41"/>
  <c r="E75" i="41"/>
  <c r="I75" i="41"/>
  <c r="Q75" i="41"/>
  <c r="U75" i="41"/>
  <c r="V75" i="41"/>
  <c r="K75" i="41"/>
  <c r="M75" i="41"/>
  <c r="B21" i="41"/>
  <c r="X21" i="41" s="1"/>
  <c r="G35" i="41"/>
  <c r="X35" i="41" s="1"/>
  <c r="X47" i="41"/>
  <c r="X8" i="41"/>
  <c r="N38" i="41"/>
  <c r="X38" i="41" s="1"/>
  <c r="X50" i="41"/>
  <c r="B61" i="41"/>
  <c r="X61" i="41" s="1"/>
  <c r="X72" i="41"/>
  <c r="B75" i="41" l="1"/>
  <c r="X75" i="41" s="1"/>
  <c r="N75" i="41"/>
  <c r="G75" i="41"/>
  <c r="G109" i="42" l="1"/>
  <c r="E108" i="42"/>
  <c r="C108" i="42" s="1"/>
  <c r="C107" i="42"/>
  <c r="E106" i="42"/>
  <c r="C106" i="42" s="1"/>
  <c r="E105" i="42"/>
  <c r="C105" i="42" s="1"/>
  <c r="F104" i="42"/>
  <c r="E104" i="42"/>
  <c r="D104" i="42"/>
  <c r="C104" i="42" s="1"/>
  <c r="F103" i="42"/>
  <c r="E103" i="42"/>
  <c r="D103" i="42"/>
  <c r="C103" i="42" s="1"/>
  <c r="F102" i="42"/>
  <c r="E102" i="42"/>
  <c r="C102" i="42" s="1"/>
  <c r="E101" i="42"/>
  <c r="D101" i="42"/>
  <c r="F100" i="42"/>
  <c r="E100" i="42"/>
  <c r="D100" i="42"/>
  <c r="E99" i="42"/>
  <c r="C99" i="42"/>
  <c r="E98" i="42"/>
  <c r="D98" i="42"/>
  <c r="C97" i="42"/>
  <c r="E96" i="42"/>
  <c r="C96" i="42"/>
  <c r="E95" i="42"/>
  <c r="C95" i="42" s="1"/>
  <c r="F94" i="42"/>
  <c r="E94" i="42"/>
  <c r="D94" i="42"/>
  <c r="C94" i="42" s="1"/>
  <c r="C93" i="42"/>
  <c r="E92" i="42"/>
  <c r="C92" i="42" s="1"/>
  <c r="E91" i="42"/>
  <c r="C91" i="42" s="1"/>
  <c r="E90" i="42"/>
  <c r="C90" i="42" s="1"/>
  <c r="F89" i="42"/>
  <c r="E89" i="42"/>
  <c r="D89" i="42"/>
  <c r="C89" i="42" s="1"/>
  <c r="E88" i="42"/>
  <c r="C88" i="42" s="1"/>
  <c r="E87" i="42"/>
  <c r="C87" i="42" s="1"/>
  <c r="E86" i="42"/>
  <c r="C86" i="42" s="1"/>
  <c r="E85" i="42"/>
  <c r="C85" i="42" s="1"/>
  <c r="E84" i="42"/>
  <c r="C84" i="42" s="1"/>
  <c r="E83" i="42"/>
  <c r="C83" i="42" s="1"/>
  <c r="C82" i="42"/>
  <c r="E81" i="42"/>
  <c r="C81" i="42" s="1"/>
  <c r="E80" i="42"/>
  <c r="C80" i="42" s="1"/>
  <c r="E79" i="42"/>
  <c r="C79" i="42" s="1"/>
  <c r="E78" i="42"/>
  <c r="C78" i="42" s="1"/>
  <c r="E77" i="42"/>
  <c r="C77" i="42" s="1"/>
  <c r="E76" i="42"/>
  <c r="D76" i="42"/>
  <c r="F75" i="42"/>
  <c r="E75" i="42"/>
  <c r="D75" i="42"/>
  <c r="C75" i="42" s="1"/>
  <c r="E74" i="42"/>
  <c r="D74" i="42"/>
  <c r="C74" i="42" s="1"/>
  <c r="C73" i="42"/>
  <c r="E72" i="42"/>
  <c r="C72" i="42" s="1"/>
  <c r="E71" i="42"/>
  <c r="C71" i="42" s="1"/>
  <c r="E70" i="42"/>
  <c r="C70" i="42" s="1"/>
  <c r="E69" i="42"/>
  <c r="C69" i="42" s="1"/>
  <c r="E68" i="42"/>
  <c r="C68" i="42" s="1"/>
  <c r="E67" i="42"/>
  <c r="C67" i="42" s="1"/>
  <c r="E66" i="42"/>
  <c r="C66" i="42" s="1"/>
  <c r="E65" i="42"/>
  <c r="C65" i="42" s="1"/>
  <c r="E64" i="42"/>
  <c r="C64" i="42" s="1"/>
  <c r="E63" i="42"/>
  <c r="C63" i="42" s="1"/>
  <c r="E62" i="42"/>
  <c r="D62" i="42"/>
  <c r="C62" i="42"/>
  <c r="E61" i="42"/>
  <c r="C61" i="42" s="1"/>
  <c r="E60" i="42"/>
  <c r="C60" i="42"/>
  <c r="E59" i="42"/>
  <c r="C59" i="42" s="1"/>
  <c r="E58" i="42"/>
  <c r="C58" i="42"/>
  <c r="E57" i="42"/>
  <c r="C57" i="42" s="1"/>
  <c r="E56" i="42"/>
  <c r="C56" i="42" s="1"/>
  <c r="E55" i="42"/>
  <c r="C55" i="42" s="1"/>
  <c r="E54" i="42"/>
  <c r="C54" i="42"/>
  <c r="E53" i="42"/>
  <c r="C53" i="42" s="1"/>
  <c r="E52" i="42"/>
  <c r="D52" i="42"/>
  <c r="C52" i="42" s="1"/>
  <c r="E51" i="42"/>
  <c r="C51" i="42" s="1"/>
  <c r="C50" i="42"/>
  <c r="E49" i="42"/>
  <c r="C49" i="42"/>
  <c r="E48" i="42"/>
  <c r="C48" i="42" s="1"/>
  <c r="E47" i="42"/>
  <c r="C47" i="42"/>
  <c r="E46" i="42"/>
  <c r="C46" i="42" s="1"/>
  <c r="E45" i="42"/>
  <c r="C45" i="42" s="1"/>
  <c r="E44" i="42"/>
  <c r="C44" i="42" s="1"/>
  <c r="E43" i="42"/>
  <c r="C43" i="42"/>
  <c r="E42" i="42"/>
  <c r="C42" i="42" s="1"/>
  <c r="E41" i="42"/>
  <c r="C41" i="42"/>
  <c r="E40" i="42"/>
  <c r="D40" i="42"/>
  <c r="E39" i="42"/>
  <c r="C39" i="42" s="1"/>
  <c r="E38" i="42"/>
  <c r="C38" i="42" s="1"/>
  <c r="E37" i="42"/>
  <c r="C37" i="42" s="1"/>
  <c r="E36" i="42"/>
  <c r="C36" i="42" s="1"/>
  <c r="E35" i="42"/>
  <c r="C35" i="42" s="1"/>
  <c r="E34" i="42"/>
  <c r="C34" i="42" s="1"/>
  <c r="E33" i="42"/>
  <c r="C33" i="42" s="1"/>
  <c r="E32" i="42"/>
  <c r="C32" i="42" s="1"/>
  <c r="E31" i="42"/>
  <c r="D31" i="42"/>
  <c r="E30" i="42"/>
  <c r="C30" i="42" s="1"/>
  <c r="E29" i="42"/>
  <c r="C29" i="42" s="1"/>
  <c r="E28" i="42"/>
  <c r="C28" i="42" s="1"/>
  <c r="E27" i="42"/>
  <c r="C27" i="42" s="1"/>
  <c r="E26" i="42"/>
  <c r="C26" i="42" s="1"/>
  <c r="E25" i="42"/>
  <c r="C25" i="42" s="1"/>
  <c r="E24" i="42"/>
  <c r="C24" i="42" s="1"/>
  <c r="E23" i="42"/>
  <c r="C23" i="42" s="1"/>
  <c r="E22" i="42"/>
  <c r="C22" i="42" s="1"/>
  <c r="E21" i="42"/>
  <c r="C21" i="42" s="1"/>
  <c r="E20" i="42"/>
  <c r="C20" i="42" s="1"/>
  <c r="E19" i="42"/>
  <c r="C19" i="42" s="1"/>
  <c r="E18" i="42"/>
  <c r="C18" i="42" s="1"/>
  <c r="E17" i="42"/>
  <c r="C17" i="42" s="1"/>
  <c r="E16" i="42"/>
  <c r="C16" i="42" s="1"/>
  <c r="E15" i="42"/>
  <c r="C15" i="42" s="1"/>
  <c r="E14" i="42"/>
  <c r="C14" i="42" s="1"/>
  <c r="E13" i="42"/>
  <c r="C13" i="42" s="1"/>
  <c r="E12" i="42"/>
  <c r="C12" i="42" s="1"/>
  <c r="E11" i="42"/>
  <c r="C11" i="42" s="1"/>
  <c r="E10" i="42"/>
  <c r="C10" i="42" s="1"/>
  <c r="E9" i="42"/>
  <c r="C9" i="42" s="1"/>
  <c r="E8" i="42"/>
  <c r="C8" i="42" s="1"/>
  <c r="E7" i="42"/>
  <c r="E109" i="42" l="1"/>
  <c r="D109" i="42"/>
  <c r="C98" i="42"/>
  <c r="C101" i="42"/>
  <c r="C40" i="42"/>
  <c r="C109" i="42" s="1"/>
  <c r="C7" i="42"/>
  <c r="C31" i="42"/>
  <c r="C76" i="42"/>
  <c r="C100" i="42"/>
  <c r="F109" i="42"/>
  <c r="C179" i="28"/>
  <c r="E178" i="28"/>
  <c r="H177" i="28"/>
  <c r="E177" i="28" s="1"/>
  <c r="E176" i="28"/>
  <c r="C176" i="28"/>
  <c r="F175" i="28"/>
  <c r="E175" i="28" s="1"/>
  <c r="C175" i="28"/>
  <c r="F174" i="28"/>
  <c r="E174" i="28"/>
  <c r="D174" i="28"/>
  <c r="C174" i="28"/>
  <c r="E173" i="28"/>
  <c r="C173" i="28"/>
  <c r="H172" i="28"/>
  <c r="E172" i="28" s="1"/>
  <c r="J171" i="28"/>
  <c r="E171" i="28"/>
  <c r="D171" i="28"/>
  <c r="C171" i="28"/>
  <c r="H170" i="28"/>
  <c r="E170" i="28"/>
  <c r="H169" i="28"/>
  <c r="E169" i="28" s="1"/>
  <c r="D169" i="28"/>
  <c r="C169" i="28"/>
  <c r="H168" i="28"/>
  <c r="E168" i="28" s="1"/>
  <c r="E167" i="28"/>
  <c r="H166" i="28"/>
  <c r="E166" i="28" s="1"/>
  <c r="E165" i="28"/>
  <c r="C165" i="28"/>
  <c r="J164" i="28"/>
  <c r="E164" i="28" s="1"/>
  <c r="H163" i="28"/>
  <c r="E163" i="28" s="1"/>
  <c r="J162" i="28"/>
  <c r="E162" i="28" s="1"/>
  <c r="H161" i="28"/>
  <c r="E161" i="28" s="1"/>
  <c r="E160" i="28"/>
  <c r="H159" i="28"/>
  <c r="E159" i="28" s="1"/>
  <c r="H158" i="28"/>
  <c r="E158" i="28" s="1"/>
  <c r="H157" i="28"/>
  <c r="E157" i="28" s="1"/>
  <c r="J156" i="28"/>
  <c r="E156" i="28"/>
  <c r="H155" i="28"/>
  <c r="E155" i="28" s="1"/>
  <c r="E154" i="28"/>
  <c r="H153" i="28"/>
  <c r="E153" i="28" s="1"/>
  <c r="H152" i="28"/>
  <c r="E152" i="28" s="1"/>
  <c r="C152" i="28"/>
  <c r="E151" i="28"/>
  <c r="J150" i="28"/>
  <c r="H149" i="28"/>
  <c r="E149" i="28" s="1"/>
  <c r="F148" i="28"/>
  <c r="E148" i="28" s="1"/>
  <c r="H147" i="28"/>
  <c r="E147" i="28" s="1"/>
  <c r="F146" i="28"/>
  <c r="E146" i="28" s="1"/>
  <c r="C146" i="28"/>
  <c r="F145" i="28"/>
  <c r="E145" i="28"/>
  <c r="C145" i="28"/>
  <c r="H144" i="28"/>
  <c r="E144" i="28" s="1"/>
  <c r="F143" i="28"/>
  <c r="E143" i="28" s="1"/>
  <c r="C143" i="28"/>
  <c r="F142" i="28"/>
  <c r="E142" i="28" s="1"/>
  <c r="F141" i="28"/>
  <c r="E141" i="28" s="1"/>
  <c r="F140" i="28"/>
  <c r="E140" i="28" s="1"/>
  <c r="C140" i="28"/>
  <c r="F139" i="28"/>
  <c r="E139" i="28" s="1"/>
  <c r="F138" i="28"/>
  <c r="E138" i="28" s="1"/>
  <c r="F137" i="28"/>
  <c r="E137" i="28" s="1"/>
  <c r="F136" i="28"/>
  <c r="E136" i="28" s="1"/>
  <c r="C136" i="28"/>
  <c r="F135" i="28"/>
  <c r="E135" i="28" s="1"/>
  <c r="C135" i="28"/>
  <c r="F134" i="28"/>
  <c r="E134" i="28" s="1"/>
  <c r="H133" i="28"/>
  <c r="E133" i="28" s="1"/>
  <c r="F132" i="28"/>
  <c r="E132" i="28" s="1"/>
  <c r="C132" i="28"/>
  <c r="F131" i="28"/>
  <c r="E131" i="28"/>
  <c r="C131" i="28"/>
  <c r="F130" i="28"/>
  <c r="E130" i="28" s="1"/>
  <c r="F129" i="28"/>
  <c r="E129" i="28" s="1"/>
  <c r="F128" i="28"/>
  <c r="E128" i="28" s="1"/>
  <c r="D128" i="28"/>
  <c r="C128" i="28"/>
  <c r="F127" i="28"/>
  <c r="E127" i="28" s="1"/>
  <c r="F126" i="28"/>
  <c r="E126" i="28" s="1"/>
  <c r="F125" i="28"/>
  <c r="E125" i="28" s="1"/>
  <c r="D125" i="28"/>
  <c r="C125" i="28"/>
  <c r="F124" i="28"/>
  <c r="E124" i="28" s="1"/>
  <c r="D124" i="28"/>
  <c r="C124" i="28"/>
  <c r="E123" i="28"/>
  <c r="E122" i="28"/>
  <c r="H121" i="28"/>
  <c r="E121" i="28" s="1"/>
  <c r="H120" i="28"/>
  <c r="E120" i="28" s="1"/>
  <c r="H119" i="28"/>
  <c r="E119" i="28" s="1"/>
  <c r="H118" i="28"/>
  <c r="E118" i="28" s="1"/>
  <c r="H117" i="28"/>
  <c r="E117" i="28" s="1"/>
  <c r="F116" i="28"/>
  <c r="E116" i="28" s="1"/>
  <c r="C116" i="28"/>
  <c r="F115" i="28"/>
  <c r="E115" i="28" s="1"/>
  <c r="C115" i="28"/>
  <c r="I114" i="28"/>
  <c r="F114" i="28"/>
  <c r="I113" i="28"/>
  <c r="F113" i="28"/>
  <c r="C113" i="28"/>
  <c r="F112" i="28"/>
  <c r="E112" i="28" s="1"/>
  <c r="C112" i="28"/>
  <c r="F111" i="28"/>
  <c r="E111" i="28" s="1"/>
  <c r="I110" i="28"/>
  <c r="F110" i="28"/>
  <c r="C110" i="28"/>
  <c r="F109" i="28"/>
  <c r="E109" i="28" s="1"/>
  <c r="I108" i="28"/>
  <c r="F108" i="28"/>
  <c r="E108" i="28" s="1"/>
  <c r="F107" i="28"/>
  <c r="E107" i="28" s="1"/>
  <c r="F106" i="28"/>
  <c r="E106" i="28" s="1"/>
  <c r="H105" i="28"/>
  <c r="E105" i="28"/>
  <c r="H104" i="28"/>
  <c r="E104" i="28" s="1"/>
  <c r="F103" i="28"/>
  <c r="E103" i="28"/>
  <c r="F102" i="28"/>
  <c r="E102" i="28" s="1"/>
  <c r="D102" i="28"/>
  <c r="C102" i="28"/>
  <c r="F101" i="28"/>
  <c r="E101" i="28" s="1"/>
  <c r="D101" i="28"/>
  <c r="C101" i="28"/>
  <c r="F100" i="28"/>
  <c r="E100" i="28" s="1"/>
  <c r="F99" i="28"/>
  <c r="E99" i="28"/>
  <c r="C99" i="28"/>
  <c r="E98" i="28"/>
  <c r="F97" i="28"/>
  <c r="E97" i="28"/>
  <c r="F96" i="28"/>
  <c r="E96" i="28" s="1"/>
  <c r="C96" i="28"/>
  <c r="F95" i="28"/>
  <c r="E95" i="28" s="1"/>
  <c r="H94" i="28"/>
  <c r="E94" i="28" s="1"/>
  <c r="I93" i="28"/>
  <c r="F93" i="28"/>
  <c r="E93" i="28"/>
  <c r="C93" i="28"/>
  <c r="F92" i="28"/>
  <c r="E92" i="28" s="1"/>
  <c r="C92" i="28"/>
  <c r="I91" i="28"/>
  <c r="E91" i="28" s="1"/>
  <c r="F90" i="28"/>
  <c r="E90" i="28" s="1"/>
  <c r="C90" i="28"/>
  <c r="H89" i="28"/>
  <c r="E89" i="28" s="1"/>
  <c r="F88" i="28"/>
  <c r="E88" i="28" s="1"/>
  <c r="C88" i="28"/>
  <c r="F87" i="28"/>
  <c r="E87" i="28" s="1"/>
  <c r="F86" i="28"/>
  <c r="E86" i="28"/>
  <c r="F85" i="28"/>
  <c r="E85" i="28" s="1"/>
  <c r="C85" i="28"/>
  <c r="F84" i="28"/>
  <c r="E84" i="28" s="1"/>
  <c r="F83" i="28"/>
  <c r="E83" i="28" s="1"/>
  <c r="H82" i="28"/>
  <c r="E82" i="28" s="1"/>
  <c r="H81" i="28"/>
  <c r="E81" i="28" s="1"/>
  <c r="F80" i="28"/>
  <c r="E80" i="28" s="1"/>
  <c r="C80" i="28"/>
  <c r="F79" i="28"/>
  <c r="E79" i="28" s="1"/>
  <c r="I78" i="28"/>
  <c r="F78" i="28"/>
  <c r="E78" i="28" s="1"/>
  <c r="C78" i="28"/>
  <c r="F77" i="28"/>
  <c r="E77" i="28"/>
  <c r="C77" i="28"/>
  <c r="F76" i="28"/>
  <c r="E76" i="28" s="1"/>
  <c r="C76" i="28"/>
  <c r="I75" i="28"/>
  <c r="F75" i="28"/>
  <c r="E75" i="28" s="1"/>
  <c r="F74" i="28"/>
  <c r="E74" i="28" s="1"/>
  <c r="E73" i="28"/>
  <c r="C73" i="28"/>
  <c r="H72" i="28"/>
  <c r="E72" i="28" s="1"/>
  <c r="H71" i="28"/>
  <c r="E71" i="28" s="1"/>
  <c r="F70" i="28"/>
  <c r="E70" i="28" s="1"/>
  <c r="F69" i="28"/>
  <c r="E69" i="28" s="1"/>
  <c r="F68" i="28"/>
  <c r="E68" i="28" s="1"/>
  <c r="I67" i="28"/>
  <c r="E67" i="28" s="1"/>
  <c r="F67" i="28"/>
  <c r="C67" i="28"/>
  <c r="F66" i="28"/>
  <c r="E66" i="28" s="1"/>
  <c r="I65" i="28"/>
  <c r="F65" i="28"/>
  <c r="D65" i="28"/>
  <c r="C65" i="28"/>
  <c r="H64" i="28"/>
  <c r="E64" i="28" s="1"/>
  <c r="H63" i="28"/>
  <c r="E63" i="28" s="1"/>
  <c r="F62" i="28"/>
  <c r="E62" i="28"/>
  <c r="C62" i="28"/>
  <c r="F61" i="28"/>
  <c r="E61" i="28" s="1"/>
  <c r="F60" i="28"/>
  <c r="E60" i="28" s="1"/>
  <c r="H59" i="28"/>
  <c r="E59" i="28" s="1"/>
  <c r="I58" i="28"/>
  <c r="F58" i="28"/>
  <c r="E58" i="28" s="1"/>
  <c r="H57" i="28"/>
  <c r="E57" i="28"/>
  <c r="F56" i="28"/>
  <c r="E56" i="28" s="1"/>
  <c r="F55" i="28"/>
  <c r="E55" i="28"/>
  <c r="F54" i="28"/>
  <c r="E54" i="28" s="1"/>
  <c r="F53" i="28"/>
  <c r="E53" i="28"/>
  <c r="I52" i="28"/>
  <c r="F52" i="28"/>
  <c r="C52" i="28"/>
  <c r="H51" i="28"/>
  <c r="E51" i="28" s="1"/>
  <c r="H50" i="28"/>
  <c r="E50" i="28"/>
  <c r="H49" i="28"/>
  <c r="E49" i="28" s="1"/>
  <c r="H48" i="28"/>
  <c r="E48" i="28"/>
  <c r="H47" i="28"/>
  <c r="E47" i="28" s="1"/>
  <c r="H46" i="28"/>
  <c r="E46" i="28"/>
  <c r="H45" i="28"/>
  <c r="E45" i="28" s="1"/>
  <c r="H44" i="28"/>
  <c r="E44" i="28" s="1"/>
  <c r="H43" i="28"/>
  <c r="E43" i="28" s="1"/>
  <c r="H42" i="28"/>
  <c r="E42" i="28"/>
  <c r="H41" i="28"/>
  <c r="E41" i="28" s="1"/>
  <c r="C41" i="28"/>
  <c r="F40" i="28"/>
  <c r="E40" i="28" s="1"/>
  <c r="F39" i="28"/>
  <c r="E39" i="28" s="1"/>
  <c r="C39" i="28"/>
  <c r="F38" i="28"/>
  <c r="E38" i="28"/>
  <c r="C38" i="28"/>
  <c r="F37" i="28"/>
  <c r="E37" i="28" s="1"/>
  <c r="F36" i="28"/>
  <c r="E36" i="28" s="1"/>
  <c r="C36" i="28"/>
  <c r="F35" i="28"/>
  <c r="E35" i="28" s="1"/>
  <c r="F34" i="28"/>
  <c r="E34" i="28"/>
  <c r="F33" i="28"/>
  <c r="E33" i="28" s="1"/>
  <c r="C33" i="28"/>
  <c r="F32" i="28"/>
  <c r="E32" i="28" s="1"/>
  <c r="F31" i="28"/>
  <c r="E31" i="28" s="1"/>
  <c r="I30" i="28"/>
  <c r="F30" i="28"/>
  <c r="C30" i="28"/>
  <c r="H29" i="28"/>
  <c r="E29" i="28" s="1"/>
  <c r="F28" i="28"/>
  <c r="E28" i="28" s="1"/>
  <c r="H27" i="28"/>
  <c r="E27" i="28" s="1"/>
  <c r="I26" i="28"/>
  <c r="F26" i="28"/>
  <c r="F25" i="28"/>
  <c r="E25" i="28"/>
  <c r="H24" i="28"/>
  <c r="E24" i="28" s="1"/>
  <c r="F23" i="28"/>
  <c r="E23" i="28"/>
  <c r="F22" i="28"/>
  <c r="E22" i="28" s="1"/>
  <c r="F21" i="28"/>
  <c r="E21" i="28"/>
  <c r="C21" i="28"/>
  <c r="I20" i="28"/>
  <c r="F20" i="28"/>
  <c r="C20" i="28"/>
  <c r="H19" i="28"/>
  <c r="E19" i="28" s="1"/>
  <c r="H18" i="28"/>
  <c r="E18" i="28" s="1"/>
  <c r="H17" i="28"/>
  <c r="E17" i="28" s="1"/>
  <c r="C17" i="28"/>
  <c r="H16" i="28"/>
  <c r="E16" i="28" s="1"/>
  <c r="C16" i="28"/>
  <c r="H15" i="28"/>
  <c r="E15" i="28" s="1"/>
  <c r="C15" i="28"/>
  <c r="H14" i="28"/>
  <c r="E14" i="28"/>
  <c r="C14" i="28"/>
  <c r="F13" i="28"/>
  <c r="E13" i="28" s="1"/>
  <c r="C13" i="28"/>
  <c r="F12" i="28"/>
  <c r="E12" i="28" s="1"/>
  <c r="F11" i="28"/>
  <c r="E11" i="28" s="1"/>
  <c r="F10" i="28"/>
  <c r="E10" i="28"/>
  <c r="F9" i="28"/>
  <c r="E9" i="28" s="1"/>
  <c r="I8" i="28"/>
  <c r="F8" i="28"/>
  <c r="C8" i="28"/>
  <c r="E30" i="28" l="1"/>
  <c r="D180" i="28"/>
  <c r="E110" i="28"/>
  <c r="E26" i="28"/>
  <c r="E114" i="28"/>
  <c r="E20" i="28"/>
  <c r="E52" i="28"/>
  <c r="E65" i="28"/>
  <c r="E113" i="28"/>
  <c r="E8" i="28"/>
  <c r="E150" i="28"/>
  <c r="C168" i="27"/>
  <c r="O167" i="27"/>
  <c r="C167" i="27" s="1"/>
  <c r="R166" i="27"/>
  <c r="Q166" i="27"/>
  <c r="K166" i="27"/>
  <c r="J166" i="27"/>
  <c r="I166" i="27"/>
  <c r="H166" i="27"/>
  <c r="G166" i="27"/>
  <c r="E166" i="27" s="1"/>
  <c r="C166" i="27" s="1"/>
  <c r="F166" i="27"/>
  <c r="R165" i="27"/>
  <c r="Q165" i="27"/>
  <c r="O165" i="27"/>
  <c r="J165" i="27"/>
  <c r="H165" i="27"/>
  <c r="G165" i="27"/>
  <c r="F165" i="27"/>
  <c r="E165" i="27" s="1"/>
  <c r="C165" i="27" s="1"/>
  <c r="O164" i="27"/>
  <c r="C164" i="27" s="1"/>
  <c r="O163" i="27"/>
  <c r="M163" i="27"/>
  <c r="L163" i="27" s="1"/>
  <c r="D162" i="27"/>
  <c r="C162" i="27" s="1"/>
  <c r="O161" i="27"/>
  <c r="C161" i="27" s="1"/>
  <c r="P160" i="27"/>
  <c r="O160" i="27"/>
  <c r="O159" i="27"/>
  <c r="C159" i="27" s="1"/>
  <c r="O158" i="27"/>
  <c r="C158" i="27" s="1"/>
  <c r="O157" i="27"/>
  <c r="C157" i="27" s="1"/>
  <c r="C156" i="27"/>
  <c r="O155" i="27"/>
  <c r="C155" i="27" s="1"/>
  <c r="O154" i="27"/>
  <c r="C154" i="27" s="1"/>
  <c r="O153" i="27"/>
  <c r="C153" i="27" s="1"/>
  <c r="P152" i="27"/>
  <c r="C152" i="27" s="1"/>
  <c r="P151" i="27"/>
  <c r="C151" i="27" s="1"/>
  <c r="P150" i="27"/>
  <c r="C150" i="27" s="1"/>
  <c r="P149" i="27"/>
  <c r="C149" i="27" s="1"/>
  <c r="P148" i="27"/>
  <c r="C148" i="27" s="1"/>
  <c r="P147" i="27"/>
  <c r="C147" i="27" s="1"/>
  <c r="C146" i="27"/>
  <c r="P145" i="27"/>
  <c r="C145" i="27" s="1"/>
  <c r="P144" i="27"/>
  <c r="C144" i="27" s="1"/>
  <c r="R143" i="27"/>
  <c r="Q143" i="27"/>
  <c r="J143" i="27"/>
  <c r="F143" i="27"/>
  <c r="E143" i="27" s="1"/>
  <c r="C143" i="27" s="1"/>
  <c r="P142" i="27"/>
  <c r="C142" i="27" s="1"/>
  <c r="R141" i="27"/>
  <c r="Q141" i="27"/>
  <c r="O141" i="27"/>
  <c r="F141" i="27"/>
  <c r="E141" i="27" s="1"/>
  <c r="C141" i="27" s="1"/>
  <c r="R140" i="27"/>
  <c r="Q140" i="27"/>
  <c r="N140" i="27"/>
  <c r="L140" i="27" s="1"/>
  <c r="M140" i="27"/>
  <c r="J140" i="27"/>
  <c r="H140" i="27"/>
  <c r="G140" i="27"/>
  <c r="F140" i="27"/>
  <c r="P139" i="27"/>
  <c r="C139" i="27" s="1"/>
  <c r="R138" i="27"/>
  <c r="Q138" i="27"/>
  <c r="K138" i="27"/>
  <c r="J138" i="27"/>
  <c r="I138" i="27"/>
  <c r="H138" i="27"/>
  <c r="G138" i="27"/>
  <c r="F138" i="27"/>
  <c r="R137" i="27"/>
  <c r="Q137" i="27"/>
  <c r="K137" i="27"/>
  <c r="J137" i="27"/>
  <c r="I137" i="27"/>
  <c r="H137" i="27"/>
  <c r="G137" i="27"/>
  <c r="F137" i="27"/>
  <c r="R136" i="27"/>
  <c r="Q136" i="27"/>
  <c r="K136" i="27"/>
  <c r="J136" i="27"/>
  <c r="H136" i="27"/>
  <c r="G136" i="27"/>
  <c r="F136" i="27"/>
  <c r="E136" i="27" s="1"/>
  <c r="C136" i="27" s="1"/>
  <c r="R135" i="27"/>
  <c r="Q135" i="27"/>
  <c r="K135" i="27"/>
  <c r="J135" i="27"/>
  <c r="I135" i="27"/>
  <c r="H135" i="27"/>
  <c r="F135" i="27"/>
  <c r="E135" i="27" s="1"/>
  <c r="R134" i="27"/>
  <c r="Q134" i="27"/>
  <c r="K134" i="27"/>
  <c r="J134" i="27"/>
  <c r="I134" i="27"/>
  <c r="H134" i="27"/>
  <c r="F134" i="27"/>
  <c r="E134" i="27" s="1"/>
  <c r="C134" i="27" s="1"/>
  <c r="R133" i="27"/>
  <c r="Q133" i="27"/>
  <c r="K133" i="27"/>
  <c r="J133" i="27"/>
  <c r="I133" i="27"/>
  <c r="H133" i="27"/>
  <c r="G133" i="27"/>
  <c r="F133" i="27"/>
  <c r="E133" i="27" s="1"/>
  <c r="C133" i="27" s="1"/>
  <c r="R132" i="27"/>
  <c r="Q132" i="27"/>
  <c r="K132" i="27"/>
  <c r="J132" i="27"/>
  <c r="I132" i="27"/>
  <c r="H132" i="27"/>
  <c r="G132" i="27"/>
  <c r="E132" i="27" s="1"/>
  <c r="F132" i="27"/>
  <c r="R131" i="27"/>
  <c r="Q131" i="27"/>
  <c r="K131" i="27"/>
  <c r="J131" i="27"/>
  <c r="I131" i="27"/>
  <c r="H131" i="27"/>
  <c r="E131" i="27"/>
  <c r="C131" i="27" s="1"/>
  <c r="R130" i="27"/>
  <c r="Q130" i="27"/>
  <c r="K130" i="27"/>
  <c r="J130" i="27"/>
  <c r="I130" i="27"/>
  <c r="H130" i="27"/>
  <c r="G130" i="27"/>
  <c r="F130" i="27"/>
  <c r="R129" i="27"/>
  <c r="Q129" i="27"/>
  <c r="K129" i="27"/>
  <c r="J129" i="27"/>
  <c r="I129" i="27"/>
  <c r="H129" i="27"/>
  <c r="G129" i="27"/>
  <c r="F129" i="27"/>
  <c r="P128" i="27"/>
  <c r="C128" i="27" s="1"/>
  <c r="R127" i="27"/>
  <c r="Q127" i="27"/>
  <c r="J127" i="27"/>
  <c r="H127" i="27"/>
  <c r="F127" i="27"/>
  <c r="E127" i="27" s="1"/>
  <c r="D127" i="27"/>
  <c r="R126" i="27"/>
  <c r="Q126" i="27"/>
  <c r="I126" i="27"/>
  <c r="D126" i="27"/>
  <c r="R125" i="27"/>
  <c r="Q125" i="27"/>
  <c r="N125" i="27"/>
  <c r="M125" i="27"/>
  <c r="L125" i="27" s="1"/>
  <c r="J125" i="27"/>
  <c r="H125" i="27"/>
  <c r="G125" i="27"/>
  <c r="F125" i="27"/>
  <c r="E125" i="27" s="1"/>
  <c r="R124" i="27"/>
  <c r="Q124" i="27"/>
  <c r="J124" i="27"/>
  <c r="H124" i="27"/>
  <c r="G124" i="27"/>
  <c r="E124" i="27" s="1"/>
  <c r="F124" i="27"/>
  <c r="R123" i="27"/>
  <c r="Q123" i="27"/>
  <c r="M123" i="27"/>
  <c r="L123" i="27" s="1"/>
  <c r="J123" i="27"/>
  <c r="H123" i="27"/>
  <c r="G123" i="27"/>
  <c r="E123" i="27" s="1"/>
  <c r="C123" i="27" s="1"/>
  <c r="F123" i="27"/>
  <c r="D123" i="27"/>
  <c r="R122" i="27"/>
  <c r="Q122" i="27"/>
  <c r="J122" i="27"/>
  <c r="H122" i="27"/>
  <c r="G122" i="27"/>
  <c r="F122" i="27"/>
  <c r="E122" i="27" s="1"/>
  <c r="C122" i="27" s="1"/>
  <c r="R121" i="27"/>
  <c r="Q121" i="27"/>
  <c r="J121" i="27"/>
  <c r="H121" i="27"/>
  <c r="G121" i="27"/>
  <c r="F121" i="27"/>
  <c r="R120" i="27"/>
  <c r="Q120" i="27"/>
  <c r="M120" i="27"/>
  <c r="L120" i="27"/>
  <c r="J120" i="27"/>
  <c r="H120" i="27"/>
  <c r="G120" i="27"/>
  <c r="F120" i="27"/>
  <c r="E120" i="27" s="1"/>
  <c r="R119" i="27"/>
  <c r="Q119" i="27"/>
  <c r="K119" i="27"/>
  <c r="J119" i="27"/>
  <c r="I119" i="27"/>
  <c r="H119" i="27"/>
  <c r="G119" i="27"/>
  <c r="F119" i="27"/>
  <c r="E119" i="27" s="1"/>
  <c r="D119" i="27"/>
  <c r="C119" i="27" s="1"/>
  <c r="C118" i="27"/>
  <c r="C117" i="27"/>
  <c r="P116" i="27"/>
  <c r="C116" i="27" s="1"/>
  <c r="P115" i="27"/>
  <c r="C115" i="27" s="1"/>
  <c r="P114" i="27"/>
  <c r="C114" i="27" s="1"/>
  <c r="P113" i="27"/>
  <c r="C113" i="27" s="1"/>
  <c r="P112" i="27"/>
  <c r="C112" i="27" s="1"/>
  <c r="R111" i="27"/>
  <c r="Q111" i="27"/>
  <c r="J111" i="27"/>
  <c r="H111" i="27"/>
  <c r="F111" i="27"/>
  <c r="E111" i="27" s="1"/>
  <c r="C111" i="27" s="1"/>
  <c r="R110" i="27"/>
  <c r="Q110" i="27"/>
  <c r="J110" i="27"/>
  <c r="H110" i="27"/>
  <c r="C110" i="27" s="1"/>
  <c r="G110" i="27"/>
  <c r="F110" i="27"/>
  <c r="E110" i="27" s="1"/>
  <c r="R109" i="27"/>
  <c r="Q109" i="27"/>
  <c r="M109" i="27"/>
  <c r="L109" i="27"/>
  <c r="J109" i="27"/>
  <c r="H109" i="27"/>
  <c r="F109" i="27"/>
  <c r="E109" i="27"/>
  <c r="R108" i="27"/>
  <c r="Q108" i="27"/>
  <c r="J108" i="27"/>
  <c r="H108" i="27"/>
  <c r="F108" i="27"/>
  <c r="E108" i="27" s="1"/>
  <c r="C108" i="27" s="1"/>
  <c r="R107" i="27"/>
  <c r="Q107" i="27"/>
  <c r="M107" i="27"/>
  <c r="L107" i="27" s="1"/>
  <c r="J107" i="27"/>
  <c r="H107" i="27"/>
  <c r="G107" i="27"/>
  <c r="F107" i="27"/>
  <c r="D107" i="27"/>
  <c r="R106" i="27"/>
  <c r="Q106" i="27"/>
  <c r="J106" i="27"/>
  <c r="H106" i="27"/>
  <c r="G106" i="27"/>
  <c r="F106" i="27"/>
  <c r="R105" i="27"/>
  <c r="Q105" i="27"/>
  <c r="N105" i="27"/>
  <c r="M105" i="27"/>
  <c r="L105" i="27" s="1"/>
  <c r="J105" i="27"/>
  <c r="H105" i="27"/>
  <c r="G105" i="27"/>
  <c r="F105" i="27"/>
  <c r="R104" i="27"/>
  <c r="Q104" i="27"/>
  <c r="J104" i="27"/>
  <c r="H104" i="27"/>
  <c r="G104" i="27"/>
  <c r="F104" i="27"/>
  <c r="E104" i="27" s="1"/>
  <c r="D104" i="27"/>
  <c r="R103" i="27"/>
  <c r="Q103" i="27"/>
  <c r="J103" i="27"/>
  <c r="H103" i="27"/>
  <c r="G103" i="27"/>
  <c r="F103" i="27"/>
  <c r="R102" i="27"/>
  <c r="Q102" i="27"/>
  <c r="J102" i="27"/>
  <c r="H102" i="27"/>
  <c r="G102" i="27"/>
  <c r="E102" i="27" s="1"/>
  <c r="C102" i="27" s="1"/>
  <c r="F102" i="27"/>
  <c r="D102" i="27"/>
  <c r="R101" i="27"/>
  <c r="Q101" i="27"/>
  <c r="K101" i="27"/>
  <c r="J101" i="27"/>
  <c r="H101" i="27"/>
  <c r="G101" i="27"/>
  <c r="E101" i="27" s="1"/>
  <c r="C101" i="27" s="1"/>
  <c r="F101" i="27"/>
  <c r="P100" i="27"/>
  <c r="C100" i="27" s="1"/>
  <c r="C99" i="27"/>
  <c r="R98" i="27"/>
  <c r="Q98" i="27"/>
  <c r="K98" i="27"/>
  <c r="I98" i="27"/>
  <c r="R97" i="27"/>
  <c r="Q97" i="27"/>
  <c r="K97" i="27"/>
  <c r="I97" i="27"/>
  <c r="D97" i="27"/>
  <c r="R96" i="27"/>
  <c r="Q96" i="27"/>
  <c r="K96" i="27"/>
  <c r="C96" i="27" s="1"/>
  <c r="I96" i="27"/>
  <c r="R95" i="27"/>
  <c r="Q95" i="27"/>
  <c r="C95" i="27" s="1"/>
  <c r="K95" i="27"/>
  <c r="R94" i="27"/>
  <c r="Q94" i="27"/>
  <c r="K94" i="27"/>
  <c r="I94" i="27"/>
  <c r="R93" i="27"/>
  <c r="Q93" i="27"/>
  <c r="K93" i="27"/>
  <c r="J93" i="27"/>
  <c r="I93" i="27"/>
  <c r="H93" i="27"/>
  <c r="G93" i="27"/>
  <c r="F93" i="27"/>
  <c r="E93" i="27"/>
  <c r="R92" i="27"/>
  <c r="Q92" i="27"/>
  <c r="K92" i="27"/>
  <c r="J92" i="27"/>
  <c r="H92" i="27"/>
  <c r="C92" i="27" s="1"/>
  <c r="G92" i="27"/>
  <c r="F92" i="27"/>
  <c r="E92" i="27" s="1"/>
  <c r="R91" i="27"/>
  <c r="Q91" i="27"/>
  <c r="K91" i="27"/>
  <c r="J91" i="27"/>
  <c r="I91" i="27"/>
  <c r="C91" i="27" s="1"/>
  <c r="H91" i="27"/>
  <c r="E91" i="27"/>
  <c r="P90" i="27"/>
  <c r="C90" i="27" s="1"/>
  <c r="R89" i="27"/>
  <c r="Q89" i="27"/>
  <c r="N89" i="27"/>
  <c r="M89" i="27"/>
  <c r="K89" i="27"/>
  <c r="J89" i="27"/>
  <c r="I89" i="27"/>
  <c r="H89" i="27"/>
  <c r="G89" i="27"/>
  <c r="F89" i="27"/>
  <c r="D89" i="27"/>
  <c r="R88" i="27"/>
  <c r="Q88" i="27"/>
  <c r="N88" i="27"/>
  <c r="M88" i="27"/>
  <c r="L88" i="27" s="1"/>
  <c r="K88" i="27"/>
  <c r="J88" i="27"/>
  <c r="I88" i="27"/>
  <c r="H88" i="27"/>
  <c r="G88" i="27"/>
  <c r="F88" i="27"/>
  <c r="D88" i="27"/>
  <c r="R87" i="27"/>
  <c r="Q87" i="27"/>
  <c r="R86" i="27"/>
  <c r="Q86" i="27"/>
  <c r="K86" i="27"/>
  <c r="J86" i="27"/>
  <c r="I86" i="27"/>
  <c r="H86" i="27"/>
  <c r="G86" i="27"/>
  <c r="E86" i="27" s="1"/>
  <c r="C86" i="27" s="1"/>
  <c r="F86" i="27"/>
  <c r="R85" i="27"/>
  <c r="Q85" i="27"/>
  <c r="K85" i="27"/>
  <c r="J85" i="27"/>
  <c r="I85" i="27"/>
  <c r="H85" i="27"/>
  <c r="G85" i="27"/>
  <c r="F85" i="27"/>
  <c r="E85" i="27"/>
  <c r="C85" i="27" s="1"/>
  <c r="R84" i="27"/>
  <c r="Q84" i="27"/>
  <c r="K84" i="27"/>
  <c r="J84" i="27"/>
  <c r="I84" i="27"/>
  <c r="H84" i="27"/>
  <c r="G84" i="27"/>
  <c r="F84" i="27"/>
  <c r="R83" i="27"/>
  <c r="Q83" i="27"/>
  <c r="K83" i="27"/>
  <c r="J83" i="27"/>
  <c r="I83" i="27"/>
  <c r="H83" i="27"/>
  <c r="G83" i="27"/>
  <c r="F83" i="27"/>
  <c r="R82" i="27"/>
  <c r="Q82" i="27"/>
  <c r="K82" i="27"/>
  <c r="J82" i="27"/>
  <c r="I82" i="27"/>
  <c r="H82" i="27"/>
  <c r="G82" i="27"/>
  <c r="F82" i="27"/>
  <c r="E82" i="27" s="1"/>
  <c r="C82" i="27" s="1"/>
  <c r="R81" i="27"/>
  <c r="Q81" i="27"/>
  <c r="K81" i="27"/>
  <c r="J81" i="27"/>
  <c r="I81" i="27"/>
  <c r="H81" i="27"/>
  <c r="G81" i="27"/>
  <c r="F81" i="27"/>
  <c r="E81" i="27" s="1"/>
  <c r="C81" i="27" s="1"/>
  <c r="P80" i="27"/>
  <c r="C80" i="27" s="1"/>
  <c r="P79" i="27"/>
  <c r="C79" i="27" s="1"/>
  <c r="Q78" i="27"/>
  <c r="C78" i="27" s="1"/>
  <c r="R77" i="27"/>
  <c r="Q77" i="27"/>
  <c r="K77" i="27"/>
  <c r="I77" i="27"/>
  <c r="C77" i="27" s="1"/>
  <c r="R76" i="27"/>
  <c r="Q76" i="27"/>
  <c r="N76" i="27"/>
  <c r="M76" i="27"/>
  <c r="J76" i="27"/>
  <c r="H76" i="27"/>
  <c r="G76" i="27"/>
  <c r="E76" i="27" s="1"/>
  <c r="F76" i="27"/>
  <c r="D76" i="27"/>
  <c r="R75" i="27"/>
  <c r="Q75" i="27"/>
  <c r="N75" i="27"/>
  <c r="M75" i="27"/>
  <c r="L75" i="27" s="1"/>
  <c r="K75" i="27"/>
  <c r="J75" i="27"/>
  <c r="I75" i="27"/>
  <c r="H75" i="27"/>
  <c r="G75" i="27"/>
  <c r="E75" i="27" s="1"/>
  <c r="C75" i="27" s="1"/>
  <c r="F75" i="27"/>
  <c r="R74" i="27"/>
  <c r="Q74" i="27"/>
  <c r="K74" i="27"/>
  <c r="J74" i="27"/>
  <c r="I74" i="27"/>
  <c r="H74" i="27"/>
  <c r="F74" i="27"/>
  <c r="E74" i="27" s="1"/>
  <c r="C74" i="27" s="1"/>
  <c r="R73" i="27"/>
  <c r="Q73" i="27"/>
  <c r="K73" i="27"/>
  <c r="J73" i="27"/>
  <c r="I73" i="27"/>
  <c r="H73" i="27"/>
  <c r="G73" i="27"/>
  <c r="F73" i="27"/>
  <c r="D73" i="27"/>
  <c r="R72" i="27"/>
  <c r="Q72" i="27"/>
  <c r="K72" i="27"/>
  <c r="J72" i="27"/>
  <c r="I72" i="27"/>
  <c r="H72" i="27"/>
  <c r="G72" i="27"/>
  <c r="E72" i="27" s="1"/>
  <c r="C72" i="27" s="1"/>
  <c r="F72" i="27"/>
  <c r="D72" i="27"/>
  <c r="R71" i="27"/>
  <c r="Q71" i="27"/>
  <c r="H71" i="27"/>
  <c r="F71" i="27"/>
  <c r="E71" i="27" s="1"/>
  <c r="C71" i="27" s="1"/>
  <c r="P70" i="27"/>
  <c r="C70" i="27" s="1"/>
  <c r="P69" i="27"/>
  <c r="C69" i="27"/>
  <c r="R68" i="27"/>
  <c r="Q68" i="27"/>
  <c r="K68" i="27"/>
  <c r="I68" i="27"/>
  <c r="C68" i="27" s="1"/>
  <c r="D68" i="27"/>
  <c r="O67" i="27"/>
  <c r="C67" i="27"/>
  <c r="R66" i="27"/>
  <c r="Q66" i="27"/>
  <c r="N66" i="27"/>
  <c r="M66" i="27"/>
  <c r="L66" i="27" s="1"/>
  <c r="K66" i="27"/>
  <c r="J66" i="27"/>
  <c r="I66" i="27"/>
  <c r="H66" i="27"/>
  <c r="G66" i="27"/>
  <c r="E66" i="27" s="1"/>
  <c r="C66" i="27" s="1"/>
  <c r="F66" i="27"/>
  <c r="R65" i="27"/>
  <c r="Q65" i="27"/>
  <c r="K65" i="27"/>
  <c r="J65" i="27"/>
  <c r="H65" i="27"/>
  <c r="G65" i="27"/>
  <c r="F65" i="27"/>
  <c r="E65" i="27" s="1"/>
  <c r="C65" i="27" s="1"/>
  <c r="R64" i="27"/>
  <c r="Q64" i="27"/>
  <c r="N64" i="27"/>
  <c r="M64" i="27"/>
  <c r="K64" i="27"/>
  <c r="J64" i="27"/>
  <c r="H64" i="27"/>
  <c r="G64" i="27"/>
  <c r="F64" i="27"/>
  <c r="R63" i="27"/>
  <c r="Q63" i="27"/>
  <c r="M63" i="27"/>
  <c r="L63" i="27"/>
  <c r="J63" i="27"/>
  <c r="H63" i="27"/>
  <c r="F63" i="27"/>
  <c r="E63" i="27"/>
  <c r="D63" i="27"/>
  <c r="R62" i="27"/>
  <c r="Q62" i="27"/>
  <c r="J62" i="27"/>
  <c r="H62" i="27"/>
  <c r="G62" i="27"/>
  <c r="F62" i="27"/>
  <c r="C61" i="27"/>
  <c r="C60" i="27"/>
  <c r="R59" i="27"/>
  <c r="Q59" i="27"/>
  <c r="K59" i="27"/>
  <c r="J59" i="27"/>
  <c r="I59" i="27"/>
  <c r="H59" i="27"/>
  <c r="G59" i="27"/>
  <c r="F59" i="27"/>
  <c r="E59" i="27" s="1"/>
  <c r="C59" i="27" s="1"/>
  <c r="R58" i="27"/>
  <c r="Q58" i="27"/>
  <c r="K58" i="27"/>
  <c r="J58" i="27"/>
  <c r="I58" i="27"/>
  <c r="H58" i="27"/>
  <c r="G58" i="27"/>
  <c r="F58" i="27"/>
  <c r="R57" i="27"/>
  <c r="Q57" i="27"/>
  <c r="K57" i="27"/>
  <c r="J57" i="27"/>
  <c r="I57" i="27"/>
  <c r="H57" i="27"/>
  <c r="G57" i="27"/>
  <c r="F57" i="27"/>
  <c r="P56" i="27"/>
  <c r="C56" i="27"/>
  <c r="R55" i="27"/>
  <c r="Q55" i="27"/>
  <c r="N55" i="27"/>
  <c r="M55" i="27"/>
  <c r="L55" i="27" s="1"/>
  <c r="K55" i="27"/>
  <c r="J55" i="27"/>
  <c r="I55" i="27"/>
  <c r="H55" i="27"/>
  <c r="G55" i="27"/>
  <c r="E55" i="27" s="1"/>
  <c r="C55" i="27" s="1"/>
  <c r="F55" i="27"/>
  <c r="D55" i="27"/>
  <c r="P54" i="27"/>
  <c r="C54" i="27" s="1"/>
  <c r="R53" i="27"/>
  <c r="Q53" i="27"/>
  <c r="K53" i="27"/>
  <c r="J53" i="27"/>
  <c r="I53" i="27"/>
  <c r="H53" i="27"/>
  <c r="F53" i="27"/>
  <c r="E53" i="27" s="1"/>
  <c r="C53" i="27" s="1"/>
  <c r="R52" i="27"/>
  <c r="Q52" i="27"/>
  <c r="K52" i="27"/>
  <c r="J52" i="27"/>
  <c r="I52" i="27"/>
  <c r="H52" i="27"/>
  <c r="G52" i="27"/>
  <c r="E52" i="27" s="1"/>
  <c r="C52" i="27" s="1"/>
  <c r="F52" i="27"/>
  <c r="R51" i="27"/>
  <c r="Q51" i="27"/>
  <c r="K51" i="27"/>
  <c r="J51" i="27"/>
  <c r="I51" i="27"/>
  <c r="H51" i="27"/>
  <c r="G51" i="27"/>
  <c r="F51" i="27"/>
  <c r="R50" i="27"/>
  <c r="Q50" i="27"/>
  <c r="K50" i="27"/>
  <c r="J50" i="27"/>
  <c r="I50" i="27"/>
  <c r="H50" i="27"/>
  <c r="G50" i="27"/>
  <c r="F50" i="27"/>
  <c r="R49" i="27"/>
  <c r="Q49" i="27"/>
  <c r="N49" i="27"/>
  <c r="M49" i="27"/>
  <c r="L49" i="27"/>
  <c r="K49" i="27"/>
  <c r="J49" i="27"/>
  <c r="I49" i="27"/>
  <c r="H49" i="27"/>
  <c r="G49" i="27"/>
  <c r="F49" i="27"/>
  <c r="D49" i="27"/>
  <c r="C48" i="27"/>
  <c r="C47" i="27"/>
  <c r="P46" i="27"/>
  <c r="C46" i="27" s="1"/>
  <c r="P45" i="27"/>
  <c r="C45" i="27" s="1"/>
  <c r="C44" i="27"/>
  <c r="C43" i="27"/>
  <c r="C42" i="27"/>
  <c r="C41" i="27"/>
  <c r="R40" i="27"/>
  <c r="Q40" i="27"/>
  <c r="K40" i="27"/>
  <c r="J40" i="27"/>
  <c r="I40" i="27"/>
  <c r="H40" i="27"/>
  <c r="G40" i="27"/>
  <c r="F40" i="27"/>
  <c r="E40" i="27"/>
  <c r="C40" i="27" s="1"/>
  <c r="R39" i="27"/>
  <c r="Q39" i="27"/>
  <c r="K39" i="27"/>
  <c r="J39" i="27"/>
  <c r="I39" i="27"/>
  <c r="H39" i="27"/>
  <c r="G39" i="27"/>
  <c r="F39" i="27"/>
  <c r="E39" i="27" s="1"/>
  <c r="C39" i="27" s="1"/>
  <c r="R38" i="27"/>
  <c r="Q38" i="27"/>
  <c r="N38" i="27"/>
  <c r="L38" i="27" s="1"/>
  <c r="C38" i="27" s="1"/>
  <c r="M38" i="27"/>
  <c r="K38" i="27"/>
  <c r="J38" i="27"/>
  <c r="I38" i="27"/>
  <c r="H38" i="27"/>
  <c r="G38" i="27"/>
  <c r="F38" i="27"/>
  <c r="E38" i="27" s="1"/>
  <c r="R37" i="27"/>
  <c r="Q37" i="27"/>
  <c r="K37" i="27"/>
  <c r="J37" i="27"/>
  <c r="I37" i="27"/>
  <c r="H37" i="27"/>
  <c r="F37" i="27"/>
  <c r="E37" i="27"/>
  <c r="R36" i="27"/>
  <c r="Q36" i="27"/>
  <c r="K36" i="27"/>
  <c r="J36" i="27"/>
  <c r="I36" i="27"/>
  <c r="G36" i="27"/>
  <c r="F36" i="27"/>
  <c r="R35" i="27"/>
  <c r="Q35" i="27"/>
  <c r="K35" i="27"/>
  <c r="J35" i="27"/>
  <c r="I35" i="27"/>
  <c r="H35" i="27"/>
  <c r="G35" i="27"/>
  <c r="F35" i="27"/>
  <c r="E35" i="27" s="1"/>
  <c r="R34" i="27"/>
  <c r="Q34" i="27"/>
  <c r="N34" i="27"/>
  <c r="M34" i="27"/>
  <c r="L34" i="27" s="1"/>
  <c r="K34" i="27"/>
  <c r="J34" i="27"/>
  <c r="I34" i="27"/>
  <c r="H34" i="27"/>
  <c r="F34" i="27"/>
  <c r="E34" i="27" s="1"/>
  <c r="C34" i="27" s="1"/>
  <c r="R33" i="27"/>
  <c r="Q33" i="27"/>
  <c r="K33" i="27"/>
  <c r="J33" i="27"/>
  <c r="I33" i="27"/>
  <c r="H33" i="27"/>
  <c r="G33" i="27"/>
  <c r="F33" i="27"/>
  <c r="E33" i="27" s="1"/>
  <c r="C33" i="27" s="1"/>
  <c r="R32" i="27"/>
  <c r="Q32" i="27"/>
  <c r="N32" i="27"/>
  <c r="M32" i="27"/>
  <c r="K32" i="27"/>
  <c r="J32" i="27"/>
  <c r="H32" i="27"/>
  <c r="G32" i="27"/>
  <c r="F32" i="27"/>
  <c r="R31" i="27"/>
  <c r="Q31" i="27"/>
  <c r="K31" i="27"/>
  <c r="J31" i="27"/>
  <c r="H31" i="27"/>
  <c r="F31" i="27"/>
  <c r="E31" i="27" s="1"/>
  <c r="C31" i="27" s="1"/>
  <c r="R30" i="27"/>
  <c r="Q30" i="27"/>
  <c r="N30" i="27"/>
  <c r="M30" i="27"/>
  <c r="L30" i="27" s="1"/>
  <c r="K30" i="27"/>
  <c r="J30" i="27"/>
  <c r="H30" i="27"/>
  <c r="G30" i="27"/>
  <c r="F30" i="27"/>
  <c r="D30" i="27"/>
  <c r="P29" i="27"/>
  <c r="C29" i="27" s="1"/>
  <c r="R28" i="27"/>
  <c r="Q28" i="27"/>
  <c r="N28" i="27"/>
  <c r="M28" i="27"/>
  <c r="K28" i="27"/>
  <c r="J28" i="27"/>
  <c r="I28" i="27"/>
  <c r="H28" i="27"/>
  <c r="G28" i="27"/>
  <c r="F28" i="27"/>
  <c r="D28" i="27"/>
  <c r="P27" i="27"/>
  <c r="C27" i="27" s="1"/>
  <c r="R26" i="27"/>
  <c r="Q26" i="27"/>
  <c r="N26" i="27"/>
  <c r="M26" i="27"/>
  <c r="K26" i="27"/>
  <c r="J26" i="27"/>
  <c r="I26" i="27"/>
  <c r="H26" i="27"/>
  <c r="G26" i="27"/>
  <c r="F26" i="27"/>
  <c r="D26" i="27"/>
  <c r="R25" i="27"/>
  <c r="Q25" i="27"/>
  <c r="K25" i="27"/>
  <c r="J25" i="27"/>
  <c r="I25" i="27"/>
  <c r="H25" i="27"/>
  <c r="G25" i="27"/>
  <c r="E25" i="27" s="1"/>
  <c r="F25" i="27"/>
  <c r="P24" i="27"/>
  <c r="C24" i="27" s="1"/>
  <c r="R23" i="27"/>
  <c r="Q23" i="27"/>
  <c r="K23" i="27"/>
  <c r="J23" i="27"/>
  <c r="I23" i="27"/>
  <c r="H23" i="27"/>
  <c r="F23" i="27"/>
  <c r="E23" i="27" s="1"/>
  <c r="R22" i="27"/>
  <c r="Q22" i="27"/>
  <c r="K22" i="27"/>
  <c r="J22" i="27"/>
  <c r="I22" i="27"/>
  <c r="H22" i="27"/>
  <c r="G22" i="27"/>
  <c r="F22" i="27"/>
  <c r="R21" i="27"/>
  <c r="Q21" i="27"/>
  <c r="N21" i="27"/>
  <c r="M21" i="27"/>
  <c r="L21" i="27" s="1"/>
  <c r="K21" i="27"/>
  <c r="J21" i="27"/>
  <c r="I21" i="27"/>
  <c r="H21" i="27"/>
  <c r="G21" i="27"/>
  <c r="F21" i="27"/>
  <c r="E21" i="27" s="1"/>
  <c r="R20" i="27"/>
  <c r="Q20" i="27"/>
  <c r="M20" i="27"/>
  <c r="L20" i="27" s="1"/>
  <c r="K20" i="27"/>
  <c r="J20" i="27"/>
  <c r="I20" i="27"/>
  <c r="H20" i="27"/>
  <c r="G20" i="27"/>
  <c r="F20" i="27"/>
  <c r="D20" i="27"/>
  <c r="P19" i="27"/>
  <c r="C19" i="27" s="1"/>
  <c r="P18" i="27"/>
  <c r="C18" i="27"/>
  <c r="P17" i="27"/>
  <c r="C17" i="27" s="1"/>
  <c r="P16" i="27"/>
  <c r="C16" i="27"/>
  <c r="P15" i="27"/>
  <c r="P169" i="27" s="1"/>
  <c r="R14" i="27"/>
  <c r="Q14" i="27"/>
  <c r="K14" i="27"/>
  <c r="J14" i="27"/>
  <c r="I14" i="27"/>
  <c r="H14" i="27"/>
  <c r="G14" i="27"/>
  <c r="F14" i="27"/>
  <c r="R13" i="27"/>
  <c r="Q13" i="27"/>
  <c r="N13" i="27"/>
  <c r="M13" i="27"/>
  <c r="L13" i="27" s="1"/>
  <c r="K13" i="27"/>
  <c r="J13" i="27"/>
  <c r="I13" i="27"/>
  <c r="H13" i="27"/>
  <c r="G13" i="27"/>
  <c r="E13" i="27" s="1"/>
  <c r="C13" i="27" s="1"/>
  <c r="F13" i="27"/>
  <c r="R12" i="27"/>
  <c r="Q12" i="27"/>
  <c r="K12" i="27"/>
  <c r="J12" i="27"/>
  <c r="I12" i="27"/>
  <c r="H12" i="27"/>
  <c r="F12" i="27"/>
  <c r="E12" i="27" s="1"/>
  <c r="C12" i="27" s="1"/>
  <c r="R11" i="27"/>
  <c r="Q11" i="27"/>
  <c r="K11" i="27"/>
  <c r="J11" i="27"/>
  <c r="I11" i="27"/>
  <c r="H11" i="27"/>
  <c r="F11" i="27"/>
  <c r="E11" i="27" s="1"/>
  <c r="R10" i="27"/>
  <c r="Q10" i="27"/>
  <c r="M10" i="27"/>
  <c r="L10" i="27" s="1"/>
  <c r="K10" i="27"/>
  <c r="J10" i="27"/>
  <c r="I10" i="27"/>
  <c r="H10" i="27"/>
  <c r="G10" i="27"/>
  <c r="F10" i="27"/>
  <c r="E10" i="27" s="1"/>
  <c r="C10" i="27" s="1"/>
  <c r="R9" i="27"/>
  <c r="Q9" i="27"/>
  <c r="M9" i="27"/>
  <c r="L9" i="27" s="1"/>
  <c r="K9" i="27"/>
  <c r="J9" i="27"/>
  <c r="I9" i="27"/>
  <c r="H9" i="27"/>
  <c r="G9" i="27"/>
  <c r="F9" i="27"/>
  <c r="F169" i="27" l="1"/>
  <c r="J169" i="27"/>
  <c r="R169" i="27"/>
  <c r="C25" i="27"/>
  <c r="E26" i="27"/>
  <c r="E28" i="27"/>
  <c r="E30" i="27"/>
  <c r="L32" i="27"/>
  <c r="E57" i="27"/>
  <c r="C57" i="27" s="1"/>
  <c r="E58" i="27"/>
  <c r="C58" i="27" s="1"/>
  <c r="L64" i="27"/>
  <c r="E73" i="27"/>
  <c r="C132" i="27"/>
  <c r="C135" i="27"/>
  <c r="E138" i="27"/>
  <c r="C138" i="27" s="1"/>
  <c r="O169" i="27"/>
  <c r="C163" i="27"/>
  <c r="C93" i="27"/>
  <c r="E106" i="27"/>
  <c r="C106" i="27" s="1"/>
  <c r="C109" i="27"/>
  <c r="C120" i="27"/>
  <c r="E129" i="27"/>
  <c r="C129" i="27" s="1"/>
  <c r="E130" i="27"/>
  <c r="C130" i="27" s="1"/>
  <c r="C35" i="27"/>
  <c r="C37" i="27"/>
  <c r="C63" i="27"/>
  <c r="E83" i="27"/>
  <c r="C83" i="27" s="1"/>
  <c r="E84" i="27"/>
  <c r="C84" i="27" s="1"/>
  <c r="E89" i="27"/>
  <c r="C94" i="27"/>
  <c r="E103" i="27"/>
  <c r="C103" i="27" s="1"/>
  <c r="E121" i="27"/>
  <c r="C121" i="27" s="1"/>
  <c r="C126" i="27"/>
  <c r="E140" i="27"/>
  <c r="C140" i="27" s="1"/>
  <c r="C160" i="27"/>
  <c r="C11" i="27"/>
  <c r="I169" i="27"/>
  <c r="Q169" i="27"/>
  <c r="E14" i="27"/>
  <c r="C14" i="27" s="1"/>
  <c r="C15" i="27"/>
  <c r="E20" i="27"/>
  <c r="C20" i="27" s="1"/>
  <c r="E22" i="27"/>
  <c r="C22" i="27" s="1"/>
  <c r="C23" i="27"/>
  <c r="L26" i="27"/>
  <c r="L28" i="27"/>
  <c r="E32" i="27"/>
  <c r="E36" i="27"/>
  <c r="C36" i="27" s="1"/>
  <c r="E49" i="27"/>
  <c r="C49" i="27" s="1"/>
  <c r="E50" i="27"/>
  <c r="C50" i="27" s="1"/>
  <c r="E51" i="27"/>
  <c r="C51" i="27" s="1"/>
  <c r="E62" i="27"/>
  <c r="C62" i="27" s="1"/>
  <c r="E64" i="27"/>
  <c r="C64" i="27" s="1"/>
  <c r="L76" i="27"/>
  <c r="C76" i="27" s="1"/>
  <c r="C87" i="27"/>
  <c r="E88" i="27"/>
  <c r="C88" i="27" s="1"/>
  <c r="L89" i="27"/>
  <c r="E105" i="27"/>
  <c r="C105" i="27" s="1"/>
  <c r="E107" i="27"/>
  <c r="C124" i="27"/>
  <c r="E137" i="27"/>
  <c r="C137" i="27" s="1"/>
  <c r="C28" i="27"/>
  <c r="H169" i="27"/>
  <c r="L169" i="27"/>
  <c r="D169" i="27"/>
  <c r="C97" i="27"/>
  <c r="E9" i="27"/>
  <c r="N169" i="27"/>
  <c r="C26" i="27"/>
  <c r="C98" i="27"/>
  <c r="C127" i="27"/>
  <c r="M169" i="27"/>
  <c r="G169" i="27"/>
  <c r="K169" i="27"/>
  <c r="C21" i="27"/>
  <c r="C30" i="27"/>
  <c r="C73" i="27"/>
  <c r="C104" i="27"/>
  <c r="C107" i="27"/>
  <c r="C125" i="27"/>
  <c r="L28" i="37"/>
  <c r="K28" i="37"/>
  <c r="F28" i="37"/>
  <c r="E28" i="37"/>
  <c r="D28" i="37"/>
  <c r="C28" i="37"/>
  <c r="I27" i="37"/>
  <c r="H27" i="37"/>
  <c r="D27" i="37" s="1"/>
  <c r="G27" i="37"/>
  <c r="F27" i="37"/>
  <c r="E27" i="37"/>
  <c r="C27" i="37"/>
  <c r="L26" i="37"/>
  <c r="D26" i="37" s="1"/>
  <c r="F26" i="37"/>
  <c r="E26" i="37"/>
  <c r="C26" i="37"/>
  <c r="L25" i="37"/>
  <c r="K25" i="37"/>
  <c r="J25" i="37"/>
  <c r="I25" i="37"/>
  <c r="E25" i="37" s="1"/>
  <c r="H25" i="37"/>
  <c r="G25" i="37"/>
  <c r="C25" i="37" s="1"/>
  <c r="F25" i="37"/>
  <c r="D25" i="37"/>
  <c r="J24" i="37"/>
  <c r="F24" i="37" s="1"/>
  <c r="I24" i="37"/>
  <c r="H24" i="37"/>
  <c r="D24" i="37" s="1"/>
  <c r="G24" i="37"/>
  <c r="E24" i="37"/>
  <c r="C24" i="37"/>
  <c r="J23" i="37"/>
  <c r="I23" i="37"/>
  <c r="H23" i="37"/>
  <c r="G23" i="37"/>
  <c r="F23" i="37"/>
  <c r="E23" i="37"/>
  <c r="D23" i="37"/>
  <c r="C23" i="37"/>
  <c r="J22" i="37"/>
  <c r="I22" i="37"/>
  <c r="H22" i="37"/>
  <c r="G22" i="37"/>
  <c r="F22" i="37"/>
  <c r="E22" i="37"/>
  <c r="D22" i="37"/>
  <c r="C22" i="37"/>
  <c r="J21" i="37"/>
  <c r="I21" i="37"/>
  <c r="H21" i="37"/>
  <c r="G21" i="37"/>
  <c r="F21" i="37"/>
  <c r="E21" i="37"/>
  <c r="D21" i="37"/>
  <c r="C21" i="37"/>
  <c r="M20" i="37"/>
  <c r="F20" i="37" s="1"/>
  <c r="L20" i="37"/>
  <c r="K20" i="37"/>
  <c r="C20" i="37" s="1"/>
  <c r="E20" i="37"/>
  <c r="D20" i="37"/>
  <c r="M19" i="37"/>
  <c r="F19" i="37" s="1"/>
  <c r="L19" i="37"/>
  <c r="K19" i="37"/>
  <c r="C19" i="37" s="1"/>
  <c r="E19" i="37"/>
  <c r="D19" i="37"/>
  <c r="M18" i="37"/>
  <c r="F18" i="37" s="1"/>
  <c r="L18" i="37"/>
  <c r="K18" i="37"/>
  <c r="J18" i="37"/>
  <c r="I18" i="37"/>
  <c r="E18" i="37" s="1"/>
  <c r="H18" i="37"/>
  <c r="G18" i="37"/>
  <c r="C18" i="37" s="1"/>
  <c r="D18" i="37"/>
  <c r="M17" i="37"/>
  <c r="F17" i="37" s="1"/>
  <c r="L17" i="37"/>
  <c r="D17" i="37" s="1"/>
  <c r="K17" i="37"/>
  <c r="E17" i="37"/>
  <c r="C17" i="37"/>
  <c r="J16" i="37"/>
  <c r="I16" i="37"/>
  <c r="H16" i="37"/>
  <c r="G16" i="37"/>
  <c r="F16" i="37"/>
  <c r="E16" i="37"/>
  <c r="D16" i="37"/>
  <c r="C16" i="37"/>
  <c r="B16" i="37" s="1"/>
  <c r="M15" i="37"/>
  <c r="F15" i="37" s="1"/>
  <c r="L15" i="37"/>
  <c r="K15" i="37"/>
  <c r="J15" i="37"/>
  <c r="I15" i="37"/>
  <c r="H15" i="37"/>
  <c r="G15" i="37"/>
  <c r="E15" i="37"/>
  <c r="D15" i="37"/>
  <c r="C15" i="37"/>
  <c r="B15" i="37" s="1"/>
  <c r="M14" i="37"/>
  <c r="F14" i="37" s="1"/>
  <c r="L14" i="37"/>
  <c r="K14" i="37"/>
  <c r="J14" i="37"/>
  <c r="I14" i="37"/>
  <c r="H14" i="37"/>
  <c r="G14" i="37"/>
  <c r="E14" i="37"/>
  <c r="D14" i="37"/>
  <c r="C14" i="37"/>
  <c r="B14" i="37" s="1"/>
  <c r="M13" i="37"/>
  <c r="L13" i="37"/>
  <c r="K13" i="37"/>
  <c r="C13" i="37" s="1"/>
  <c r="B13" i="37" s="1"/>
  <c r="I13" i="37"/>
  <c r="H13" i="37"/>
  <c r="G13" i="37"/>
  <c r="F13" i="37"/>
  <c r="E13" i="37"/>
  <c r="D13" i="37"/>
  <c r="M12" i="37"/>
  <c r="L12" i="37"/>
  <c r="K12" i="37"/>
  <c r="J12" i="37"/>
  <c r="I12" i="37"/>
  <c r="E12" i="37" s="1"/>
  <c r="H12" i="37"/>
  <c r="D12" i="37" s="1"/>
  <c r="G12" i="37"/>
  <c r="C12" i="37"/>
  <c r="M11" i="37"/>
  <c r="L11" i="37"/>
  <c r="K11" i="37"/>
  <c r="J11" i="37"/>
  <c r="I11" i="37"/>
  <c r="E11" i="37" s="1"/>
  <c r="B11" i="37" s="1"/>
  <c r="H11" i="37"/>
  <c r="G11" i="37"/>
  <c r="C11" i="37" s="1"/>
  <c r="D11" i="37"/>
  <c r="M10" i="37"/>
  <c r="F10" i="37" s="1"/>
  <c r="L10" i="37"/>
  <c r="K10" i="37"/>
  <c r="J10" i="37"/>
  <c r="I10" i="37"/>
  <c r="E10" i="37" s="1"/>
  <c r="B10" i="37" s="1"/>
  <c r="H10" i="37"/>
  <c r="G10" i="37"/>
  <c r="C10" i="37" s="1"/>
  <c r="D10" i="37"/>
  <c r="L9" i="37"/>
  <c r="L29" i="37" s="1"/>
  <c r="K9" i="37"/>
  <c r="J9" i="37"/>
  <c r="I9" i="37"/>
  <c r="E9" i="37" s="1"/>
  <c r="H9" i="37"/>
  <c r="D9" i="37" s="1"/>
  <c r="G9" i="37"/>
  <c r="F9" i="37"/>
  <c r="C9" i="37"/>
  <c r="J8" i="37"/>
  <c r="F8" i="37" s="1"/>
  <c r="I8" i="37"/>
  <c r="E8" i="37" s="1"/>
  <c r="B8" i="37" s="1"/>
  <c r="H8" i="37"/>
  <c r="G8" i="37"/>
  <c r="C8" i="37" s="1"/>
  <c r="D8" i="37"/>
  <c r="K7" i="37"/>
  <c r="K29" i="37" s="1"/>
  <c r="J7" i="37"/>
  <c r="J29" i="37" s="1"/>
  <c r="I7" i="37"/>
  <c r="H7" i="37"/>
  <c r="G7" i="37"/>
  <c r="C7" i="37" s="1"/>
  <c r="F7" i="37"/>
  <c r="E7" i="37"/>
  <c r="D7" i="37"/>
  <c r="B24" i="37" l="1"/>
  <c r="B20" i="37"/>
  <c r="B22" i="37"/>
  <c r="B23" i="37"/>
  <c r="B26" i="37"/>
  <c r="C32" i="27"/>
  <c r="B25" i="37"/>
  <c r="M29" i="37"/>
  <c r="C89" i="27"/>
  <c r="B9" i="37"/>
  <c r="H29" i="37"/>
  <c r="F11" i="37"/>
  <c r="B12" i="37"/>
  <c r="F12" i="37"/>
  <c r="B19" i="37"/>
  <c r="B21" i="37"/>
  <c r="I29" i="37"/>
  <c r="B17" i="37"/>
  <c r="B18" i="37"/>
  <c r="B28" i="37"/>
  <c r="C9" i="27"/>
  <c r="C169" i="27" s="1"/>
  <c r="E169" i="27"/>
  <c r="B7" i="37"/>
  <c r="C29" i="37"/>
  <c r="B27" i="37"/>
  <c r="D29" i="37"/>
  <c r="F29" i="37"/>
  <c r="E29" i="37"/>
  <c r="G29" i="37"/>
  <c r="B29" i="37" l="1"/>
</calcChain>
</file>

<file path=xl/sharedStrings.xml><?xml version="1.0" encoding="utf-8"?>
<sst xmlns="http://schemas.openxmlformats.org/spreadsheetml/2006/main" count="858" uniqueCount="372">
  <si>
    <t>ГБУЗ РБ БСМП г.Уфа</t>
  </si>
  <si>
    <t>ГБУЗ РБ Месягутовская ЦРБ</t>
  </si>
  <si>
    <t>ГБУЗ РКГВВ</t>
  </si>
  <si>
    <t>ГБУЗ РКЦ</t>
  </si>
  <si>
    <t>ИТОГО</t>
  </si>
  <si>
    <t>Всего</t>
  </si>
  <si>
    <t>ГБУЗ "РКПЦ" МЗ РБ</t>
  </si>
  <si>
    <t>ГБУЗ РКОД МЗ РБ</t>
  </si>
  <si>
    <t>ФГБОУ ВО БГМУ Минздрава России</t>
  </si>
  <si>
    <t>ООО "Медсервис" г. Салават</t>
  </si>
  <si>
    <t>№ п/п</t>
  </si>
  <si>
    <t>Наименование медицинской организации</t>
  </si>
  <si>
    <t>в том числе</t>
  </si>
  <si>
    <t xml:space="preserve">в том числе </t>
  </si>
  <si>
    <t>ГБУЗ РБ Белебеевская ЦРБ</t>
  </si>
  <si>
    <t>ГБУЗ РБ Давлекановская ЦРБ</t>
  </si>
  <si>
    <t>ГБУЗ РБ Бижбулякская ЦРБ</t>
  </si>
  <si>
    <t>ГБУЗ РБ Ермекеевская ЦРБ</t>
  </si>
  <si>
    <t>ГБУЗ РБ Миякинская ЦРБ</t>
  </si>
  <si>
    <t>ГБУЗ РБ Раевская ЦРБ</t>
  </si>
  <si>
    <t>ГБУЗ РБ Белорецкая ЦРКБ</t>
  </si>
  <si>
    <t>ГАУЗ РБ Учалинская ЦГБ</t>
  </si>
  <si>
    <t>ГБУЗ РБ Аскаровская ЦРБ</t>
  </si>
  <si>
    <t>ГБУЗ РБ Бурзянская ЦРБ</t>
  </si>
  <si>
    <t>ФГБУЗ МСЧ № 142 ФМБА России</t>
  </si>
  <si>
    <t>ГБУЗ РБ Бирская ЦРБ</t>
  </si>
  <si>
    <t>ГБУЗ РБ Дюртюлинская ЦРБ</t>
  </si>
  <si>
    <t>ГБУЗ РБ ГБ г. Нефтекамск</t>
  </si>
  <si>
    <t>Обособленное структурное подразделение ГБУЗ РБ ГБ г. Нефтекамск, ранее именуемое ГБУЗ РБ Агидельская ГБ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</si>
  <si>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</si>
  <si>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</si>
  <si>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</si>
  <si>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</si>
  <si>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</si>
  <si>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</si>
  <si>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</si>
  <si>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</si>
  <si>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</si>
  <si>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ГБУЗ РБ Белокатайская ЦРБ</t>
  </si>
  <si>
    <t>ГБУЗ РБ Большеустьикинская ЦРБ</t>
  </si>
  <si>
    <t>ГБУЗ РБ Кигинская ЦРБ</t>
  </si>
  <si>
    <t>ГБУЗ РБ Малоязовская ЦРБ</t>
  </si>
  <si>
    <t>ГБУЗ РБ ЦГБ г. Сибай</t>
  </si>
  <si>
    <t>ГБУЗ РБ Баймакская ЦГБ</t>
  </si>
  <si>
    <t>ГБУЗ РБ Акъярская ЦРБ</t>
  </si>
  <si>
    <t>ГБУЗ РБ Зилаирская ЦРБ</t>
  </si>
  <si>
    <t>ГБУЗ РБ КБ № 1 г. Стерлитамак</t>
  </si>
  <si>
    <t xml:space="preserve">ГБУЗ РБ ГБ № 3 г. Стерлитамак </t>
  </si>
  <si>
    <t>ГБУЗ РБ ДБ г. Стерлитамак</t>
  </si>
  <si>
    <t xml:space="preserve">ГАУЗ РБ КВД г. Стерлитамак </t>
  </si>
  <si>
    <t>ГБУЗ РБ Ишимбайская ЦРБ</t>
  </si>
  <si>
    <t xml:space="preserve">ГБУЗ РБ ГБ г. Кумертау </t>
  </si>
  <si>
    <t>Обособленное структурное подразделение ГБУЗ РБ ГБ г. Кумертау ранее именуемое ГБУЗ РБ Ермолаевская ЦРБ</t>
  </si>
  <si>
    <t>ГБУЗ РБ Мелеузовская ЦРБ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</si>
  <si>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</si>
  <si>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</si>
  <si>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АНО "Перинатальный центр"</t>
  </si>
  <si>
    <t>ГАУЗ РБ КВД г. Салават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</si>
  <si>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</si>
  <si>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</si>
  <si>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</si>
  <si>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</si>
  <si>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</si>
  <si>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</si>
  <si>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ГБУЗ РБ Туймазинская ЦРБ</t>
  </si>
  <si>
    <t>ГБУЗ РБ ГБ № 1 г. Октябрьский</t>
  </si>
  <si>
    <t>ГБУЗ РБ Бакалинская ЦРБ</t>
  </si>
  <si>
    <t>ГБУЗ РБ Верхнеяркеевская ЦРБ</t>
  </si>
  <si>
    <t>ГБУЗ РБ Шаранская ЦРБ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</si>
  <si>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</si>
  <si>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</si>
  <si>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</si>
  <si>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</si>
  <si>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</si>
  <si>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</si>
  <si>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</si>
  <si>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</si>
  <si>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ГБУЗ РБ ГКБ № 18 г. Уфа</t>
  </si>
  <si>
    <t xml:space="preserve">ГБУЗ РБ РД № 3 г. Уфа  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</si>
  <si>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</si>
  <si>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</si>
  <si>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</si>
  <si>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</si>
  <si>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</si>
  <si>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</si>
  <si>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</si>
  <si>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</si>
  <si>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</si>
  <si>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</si>
  <si>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НУЗ "Дорожный центр восстановительной медицины и реабилитации ОАО "РЖД"</t>
  </si>
  <si>
    <t>ФКУЗ «МСЧ МВД России по РБ»</t>
  </si>
  <si>
    <t>ГБУЗ РКОД  МЗ РБ</t>
  </si>
  <si>
    <t>ГБУ "УфНИИ ГБ АН РБ"</t>
  </si>
  <si>
    <t>ГАУЗ РКВД № 1</t>
  </si>
  <si>
    <t>ГБУЗ РБ ИКБ № 4 г.Уфа</t>
  </si>
  <si>
    <t>ФГБУ "ВЦГПХ" МЗ РФ</t>
  </si>
  <si>
    <t>Медицинская помощь за пределами РБ</t>
  </si>
  <si>
    <t>Наименование медицинских организаций</t>
  </si>
  <si>
    <t>Итого</t>
  </si>
  <si>
    <t>ГБУЗ РБ ГБ г.Нефтекамск</t>
  </si>
  <si>
    <t>АО "Медторгсервис"</t>
  </si>
  <si>
    <t>ГБУЗ РБ Городская инфекционная больница г. Стерлитамак</t>
  </si>
  <si>
    <t>НУЗ "Узловая больница на ст. Стерлитамак ОАО "РЖД"</t>
  </si>
  <si>
    <t>Обособленное структурное подразделение ГБУЗ РБ ГБ г. Кумертау  ранее именуемое ГБУЗ РБ Ермолаевская ЦРБ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</si>
  <si>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</si>
  <si>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</si>
  <si>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</si>
  <si>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</si>
  <si>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</si>
  <si>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</si>
  <si>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</si>
  <si>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</si>
  <si>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</si>
  <si>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</si>
  <si>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</si>
  <si>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</si>
  <si>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</si>
  <si>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</si>
  <si>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</si>
  <si>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УФИЦ РАН</t>
  </si>
  <si>
    <t>ООО "Лаборатория гемодиализа"</t>
  </si>
  <si>
    <t>ООО "МЦ Семья"</t>
  </si>
  <si>
    <t>ООО "Сфера-Эстейт"</t>
  </si>
  <si>
    <t>ГБУЗ РКБ им.Г.Г. Куватова</t>
  </si>
  <si>
    <t xml:space="preserve">ГБУЗ "РДКБ" </t>
  </si>
  <si>
    <t>ГБУЗ РМГЦ</t>
  </si>
  <si>
    <t>ГАУЗ РВФД</t>
  </si>
  <si>
    <t xml:space="preserve">ГБУЗ РБ ГКБ № 21 г. Уфа </t>
  </si>
  <si>
    <t>Обособленное структурное подразделение ГБУЗ РБ ГКБ № 21 г. Уфа ранее именуемое ГБУЗ РБ Уфимская ЦРП</t>
  </si>
  <si>
    <t>ГБУЗ РБ ИКБ № 4 г. Уфа</t>
  </si>
  <si>
    <t>Амбулаторно-поликлиническая помощь в части посещений с профилактической целью на 2018 год.</t>
  </si>
  <si>
    <t>ВСЕГО</t>
  </si>
  <si>
    <t>Центр здоровья</t>
  </si>
  <si>
    <t xml:space="preserve">Диспансеризация взрослого населения 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</si>
  <si>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</si>
  <si>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</si>
  <si>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</si>
  <si>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</si>
  <si>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Консуль-тативные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</si>
  <si>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</si>
  <si>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</si>
  <si>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>1 этап (терапевт)</t>
  </si>
  <si>
    <t>2 этап</t>
  </si>
  <si>
    <t>первичный прием</t>
  </si>
  <si>
    <t>повторная консуль-тация</t>
  </si>
  <si>
    <t>финансиру-емые по реестрам</t>
  </si>
  <si>
    <t>финансиру-емые по подушевому принципу</t>
  </si>
  <si>
    <t xml:space="preserve"> периодичностью 1 раз в 3 года</t>
  </si>
  <si>
    <t xml:space="preserve"> периодичностью 1 раз в 2 года</t>
  </si>
  <si>
    <t>ООО "Академия здоровья"</t>
  </si>
  <si>
    <t>ООО "Дентал Стандарт"</t>
  </si>
  <si>
    <t>ООО "Зубы и зубки"</t>
  </si>
  <si>
    <t>ООО "Радуга"</t>
  </si>
  <si>
    <t>ООО "Центр здоровья и красоты"</t>
  </si>
  <si>
    <t>ООО "Мой доктор"</t>
  </si>
  <si>
    <t>ГБУЗ РБ Бирская стоматологическая поликлиника</t>
  </si>
  <si>
    <t>ГАУЗ РБ СП Дюртюлинского района</t>
  </si>
  <si>
    <t>ООО  «Белый Жемчуг»</t>
  </si>
  <si>
    <t>ООО  «Ваша стоматология»</t>
  </si>
  <si>
    <t>ООО "ВИП"</t>
  </si>
  <si>
    <t>ООО "ВИТАЛ"</t>
  </si>
  <si>
    <t>ООО "Галия"</t>
  </si>
  <si>
    <t>ООО "ПМЦ "Династия"</t>
  </si>
  <si>
    <t>ООО «Корона+»</t>
  </si>
  <si>
    <t>ООО "ЭнжеДент"</t>
  </si>
  <si>
    <t>ООО Стоматологическая клиника "ПАЛИТРАДЕНТ"</t>
  </si>
  <si>
    <t>ГАУЗ РБ Стоматологическая поликлиника г.Сибай</t>
  </si>
  <si>
    <t>ИП Искужин Р.Г.</t>
  </si>
  <si>
    <t>ООО "Медента"</t>
  </si>
  <si>
    <t>ГБУЗ РБ Городская больница № 2               г. Стерлитамак</t>
  </si>
  <si>
    <t>ГБУЗ РБ Городская больница № 4              г. Стерлитамак</t>
  </si>
  <si>
    <t>Обособленное структурное подразделение ГБУЗ РБ Городская больница № 4                    г. Стерлитамак ранее именуемое ГБУЗ РБ Стерлитамакская ЦРП</t>
  </si>
  <si>
    <t>ГБУЗ РБ СП г.Стерлитамак</t>
  </si>
  <si>
    <t>АНО "Перинатальный цент"</t>
  </si>
  <si>
    <t>ГБУЗ РБ Стоматологическая поликлиника г.Салават</t>
  </si>
  <si>
    <t>ГБУ РБ Стоматологическая поликлиника г.Октябрьский</t>
  </si>
  <si>
    <r>
      <t xml:space="preserve">ГБУЗ РБ </t>
    </r>
    <r>
      <rPr>
        <sz val="9"/>
        <color theme="1"/>
        <rFont val="Times New Roman"/>
        <family val="1"/>
        <charset val="204"/>
      </rPr>
      <t>Детская поликлиника № 6 г. Уфа</t>
    </r>
  </si>
  <si>
    <t>ГАУЗ РБ Детская СП №3 г.Уфа</t>
  </si>
  <si>
    <t>ГБУЗ РБ Детская СП №7 г.Уфа</t>
  </si>
  <si>
    <t>ГБУЗ РБ СП №1 г.Уфа</t>
  </si>
  <si>
    <t>ГБУЗ РБ СП №2 г.Уфа</t>
  </si>
  <si>
    <t>ГБУЗ  РБ СП №4 г.Уфа</t>
  </si>
  <si>
    <t>ГБУЗ РБ  СП №5 г.Уфа</t>
  </si>
  <si>
    <t>ГБУЗ РБ СП №6 г.Уфа</t>
  </si>
  <si>
    <t>ГАУЗ РБ СП №8 г.Уфа</t>
  </si>
  <si>
    <t>ГАУЗ РБ СП №9 г.Уфа</t>
  </si>
  <si>
    <t>ГБУ БНИЦ по пчеловодству и апитерапии</t>
  </si>
  <si>
    <t>ФГБОУ ВО БГМУ Минздрава России (стоматология)</t>
  </si>
  <si>
    <t>ООО "Арт-Лион"</t>
  </si>
  <si>
    <t>ООО "Дантист"</t>
  </si>
  <si>
    <t>ООО "Мастер-Дент"</t>
  </si>
  <si>
    <t>ООО "Семейный доктор"</t>
  </si>
  <si>
    <t>ООО "УльтраМед"</t>
  </si>
  <si>
    <t>ООО "Эмидент"</t>
  </si>
  <si>
    <t>ООО "ЮНИСТ"</t>
  </si>
  <si>
    <t>АУЗ РСП</t>
  </si>
  <si>
    <t>Обособленное структурное подразделение ГБУЗ РБ ГКБ № 21 г. Уфа  ранее именуемое ГБУЗ РБ Уфимская ЦРП</t>
  </si>
  <si>
    <t>Амбулаторно-поликлиническая помощь в части обращений в связи с заболеваниями  и неотложной медицинской помощи на 2018 год.</t>
  </si>
  <si>
    <t>Неотложная медицинская помощь (посещение по неотложной медицинской помощи)</t>
  </si>
  <si>
    <t>в том числе посещения в травматоло-гические пункты</t>
  </si>
  <si>
    <t>Обращения в связи с заболеваниями (обращение)</t>
  </si>
  <si>
    <t>Обращения МО, имеющих прикрепленное население</t>
  </si>
  <si>
    <t>Обращения МО, не имеющих прикрепленного населения</t>
  </si>
  <si>
    <t>Обращения в онкоцен-трах</t>
  </si>
  <si>
    <r>
      <t>Обращения к нефрологу по поводу гемодиализа (перитонеаль-ного диализа</t>
    </r>
    <r>
      <rPr>
        <sz val="8"/>
        <color rgb="FF000000"/>
        <rFont val="Times New Roman"/>
        <family val="1"/>
        <charset val="204"/>
      </rPr>
      <t>)</t>
    </r>
  </si>
  <si>
    <t>ООО «Экодент»</t>
  </si>
  <si>
    <t>Обособленное структурное подразделение ГБУЗ РБ ГБ                         г. Нефтекамск, ранее именуемое ГБУЗ РБ Агидельская ГБ</t>
  </si>
  <si>
    <t>ООО ГСК</t>
  </si>
  <si>
    <t>ООО "Дента"</t>
  </si>
  <si>
    <t>ООО "Медисса"</t>
  </si>
  <si>
    <t>ГБУЗ РБ Городская больница № 2                     г. Стерлитамак</t>
  </si>
  <si>
    <t>ГБУЗ РБ Городская больница № 4                    г. Стерлитамак</t>
  </si>
  <si>
    <t>Обособленное структурное подразделение ГБУЗ РБ Городская больница № 4  г. Стерлитамак ранее именуемое ГБУЗ РБ Стерлитамакская ЦРП</t>
  </si>
  <si>
    <t>ООО СП "Берёзка"</t>
  </si>
  <si>
    <t>ООО "ММОЦ"</t>
  </si>
  <si>
    <t>ООО "Медсервис" с.Верхнеяркеево</t>
  </si>
  <si>
    <t>ООО "МЦ "Агидель"</t>
  </si>
  <si>
    <t>ООО "ДЭНТА"</t>
  </si>
  <si>
    <t>ООО "Клиника Авиценна"</t>
  </si>
  <si>
    <t>ООО "МД Проект 2010""</t>
  </si>
  <si>
    <t>ООО "Медхелп"</t>
  </si>
  <si>
    <t xml:space="preserve">ООО "Экома" </t>
  </si>
  <si>
    <t>Медицинская помощь, оказываемая в центрах здоровья, на 2018 год.</t>
  </si>
  <si>
    <t>(посещение)</t>
  </si>
  <si>
    <t>Взрослое население</t>
  </si>
  <si>
    <t>Детское население</t>
  </si>
  <si>
    <t>первичное посещение</t>
  </si>
  <si>
    <t>динамическое наблюдение (комплексное)</t>
  </si>
  <si>
    <t>комплексное посещение</t>
  </si>
  <si>
    <t>посещение гигиениста стоматологи-ческого</t>
  </si>
  <si>
    <t>посещение офтальмологи-ческого кабинета</t>
  </si>
  <si>
    <t>ГБУЗ РБ ГБ г.Кумертау</t>
  </si>
  <si>
    <t>ГБУЗ РБ ГБ г.Салават</t>
  </si>
  <si>
    <t>ГБУЗ РБ ЦГБ г.Сибай</t>
  </si>
  <si>
    <t>ГБУЗ РБ Городская больница №2 г.Стерлитамак</t>
  </si>
  <si>
    <t>ГБУЗ РБ ДБ г.Стерлитамак</t>
  </si>
  <si>
    <t>ГБУЗ РБ ГБ №1 г.Октябрьский</t>
  </si>
  <si>
    <t>ГБУЗ РБ Детская поликлиника №5 г.Уфа</t>
  </si>
  <si>
    <t>ГБУЗ РБ Поликлиника №2 г.Уфа</t>
  </si>
  <si>
    <t>ГБУЗ РБ Поликлиника №38 г.Уфа</t>
  </si>
  <si>
    <t>ГБУЗ РБ Поликлиника №46 г.Уфа</t>
  </si>
  <si>
    <t>ГБУЗ РБ ГКБ Демского района г.Уфа</t>
  </si>
  <si>
    <t>ГБУЗ РБ ГКБ №10 г.Уфа</t>
  </si>
  <si>
    <t>ГБУЗ РБ ГДКБ №17 г.Уфа</t>
  </si>
  <si>
    <t>ГБУЗ РБ ГКБ №18 г.Уфа</t>
  </si>
  <si>
    <t>Медицинская помощь, оказываемая в круглосуточных стационарах на 2018 год.</t>
  </si>
  <si>
    <t>(случаи госпитализации)</t>
  </si>
  <si>
    <t>Всего в рамках программы ОМС</t>
  </si>
  <si>
    <t>ВМП</t>
  </si>
  <si>
    <t>ОМС (базовая)</t>
  </si>
  <si>
    <t>в том числе медицинская реабилитация</t>
  </si>
  <si>
    <t>гемодиализ (услуги)</t>
  </si>
  <si>
    <t>ГБУЗ РБ Городская больница № 2 г. Стерлитамак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</si>
  <si>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</si>
  <si>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</si>
  <si>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ГБУЗ РБ Городская инфекционная больница                                                                            г. Стерлитамак</t>
  </si>
  <si>
    <t xml:space="preserve">ООО "Медсервис" </t>
  </si>
  <si>
    <t>ООО "МД Проект 2010"</t>
  </si>
  <si>
    <t>ООО "ЦМТ"</t>
  </si>
  <si>
    <t>ООО "Медицинский центр Семья"</t>
  </si>
  <si>
    <t>ГБУЗ РКБ им. Г.Г.Куватова</t>
  </si>
  <si>
    <t>ФБУН  "Уфимский НИИ медицины труда и экологии человека"</t>
  </si>
  <si>
    <t>ГБУЗ " РДКБ"</t>
  </si>
  <si>
    <t xml:space="preserve">ГБУЗ РБ ГКБ № 21 г.Уфа </t>
  </si>
  <si>
    <t>Обособленное структурное подразделение ГБУЗ РБ ГКБ № 21 г.Уфа ранее именуемое ГБУЗ РБ Уфимская ЦРП</t>
  </si>
  <si>
    <t>Объем и перечень видов ВМП, финансовое обеспечение которых осуществляется за счет средств ОМС, 
установленные Комиссией на 2018 год</t>
  </si>
  <si>
    <t>№ группы ВМП</t>
  </si>
  <si>
    <t>ФГБУ ВЦГПХ МЗ РФ</t>
  </si>
  <si>
    <t>ГБУЗ РБ ГБ Салават</t>
  </si>
  <si>
    <t>ГБУЗ РБ РД №3 г.Уфа</t>
  </si>
  <si>
    <t>ГБУЗ РБ ГКБ №10 г. Уфа</t>
  </si>
  <si>
    <t>ГБУЗ РБ ГКБ №13 г. Уфа</t>
  </si>
  <si>
    <t>ГБУЗ РБ ГДКБ №17 г. Уфа</t>
  </si>
  <si>
    <t>ГБУЗ РБ ГКБ №18 г. Уфа</t>
  </si>
  <si>
    <t>ГБУЗ РБ ГКБ №21 г. Уфа</t>
  </si>
  <si>
    <t>ГБУЗ РБ КБ №1 г. Стерлитамак</t>
  </si>
  <si>
    <t>ГБУ  "УфНИИ ГБ АН РБ"</t>
  </si>
  <si>
    <t>ГБУЗ РКВД №1</t>
  </si>
  <si>
    <t>ГБУЗ "РДКБ"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</si>
  <si>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</si>
  <si>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</si>
  <si>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</si>
  <si>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</si>
  <si>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</si>
  <si>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</si>
  <si>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</si>
  <si>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</si>
  <si>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</si>
  <si>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</si>
  <si>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</si>
  <si>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</si>
  <si>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</si>
  <si>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</si>
  <si>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</si>
  <si>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</si>
  <si>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</si>
  <si>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</si>
  <si>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</si>
  <si>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</si>
  <si>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Скорая медицинская помощь на 2018 год</t>
  </si>
  <si>
    <t>(вызов)</t>
  </si>
  <si>
    <t>Сверхбазовая часть программы ОМС (психиатри-ческие бригады)</t>
  </si>
  <si>
    <t xml:space="preserve">Объемы скорой медицинской помощи в рамках базовой программы ОМС </t>
  </si>
  <si>
    <t>Фельдшер-ские</t>
  </si>
  <si>
    <t>из них с применением тромболи-тических препаратов</t>
  </si>
  <si>
    <t xml:space="preserve">Врачебные </t>
  </si>
  <si>
    <t>Специализи-рованные</t>
  </si>
  <si>
    <t>ГБУЗ РБ Станция скорой медицинской помощи г. Стерлитамак</t>
  </si>
  <si>
    <t>ГБУЗ РССМП и ЦМК</t>
  </si>
  <si>
    <t>Объемы медицинской помощи за пределами РБ</t>
  </si>
  <si>
    <t xml:space="preserve">Объемы по лечебно-диагностическим исследоваиням, оказываемым в амбулаторно-поликлинических условиях в Республике Башкортостан в 2018 г.                                                                                                                  </t>
  </si>
  <si>
    <t>(услуги)</t>
  </si>
  <si>
    <t>Наименование учреждения здравоохранения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</si>
  <si>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</si>
  <si>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</si>
  <si>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</si>
  <si>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</si>
  <si>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Компьютерная томография в центре ПЭТ</t>
  </si>
  <si>
    <t>без К</t>
  </si>
  <si>
    <t>с К</t>
  </si>
  <si>
    <t>с К  и исп. АИ</t>
  </si>
  <si>
    <t>сцинти-графия</t>
  </si>
  <si>
    <t xml:space="preserve">рено-графия </t>
  </si>
  <si>
    <t>ГАУЗ РБ Учалинская ЦРБ</t>
  </si>
  <si>
    <t>ГБУЗ РБ ГБ города Кумертау</t>
  </si>
  <si>
    <t>ГБУЗ РБ ГБ № 1 города Октябрьский</t>
  </si>
  <si>
    <t>ГБУЗ РБ ГБ города Салават</t>
  </si>
  <si>
    <t>ГБУЗ РБ ЦГБ города Сибай</t>
  </si>
  <si>
    <t>ГБУЗ РБ КБ № 1 города Стерлитамак</t>
  </si>
  <si>
    <t>ГБУЗ РБ ГКБ Демского района г. Уфа</t>
  </si>
  <si>
    <t>ГБУЗ РБ Поликлиника №32 г. Уфа</t>
  </si>
  <si>
    <t>ГБУЗ РБ Поликлиника №43 г. Уфа</t>
  </si>
  <si>
    <t>ГБУЗ РБ Поликлиника №46 г. Уфа</t>
  </si>
  <si>
    <t>ФГБОУ ВО "БГМУ" Минздрава России</t>
  </si>
  <si>
    <t xml:space="preserve">ГБУЗ РБ ГКБ №21 г. Уфа </t>
  </si>
  <si>
    <t>ГБУЗ РБ БСМП г. Уфа</t>
  </si>
  <si>
    <t>ГБУЗ РДКБ</t>
  </si>
  <si>
    <t>ГБУЗ РКБ им. Г.Г. Куватова</t>
  </si>
  <si>
    <t>ГБУЗ РБ ГБ города Нефтекамск</t>
  </si>
  <si>
    <t>ООО "Медсервис"</t>
  </si>
  <si>
    <t>ГБУЗ Баймакская ЦРБ</t>
  </si>
  <si>
    <t>ООО "Центр здоровья"</t>
  </si>
  <si>
    <t>ГБУЗ РБ ГБ № 3 города Стерлитамак</t>
  </si>
  <si>
    <t>ООО ПЭТ-Технолоджи</t>
  </si>
  <si>
    <t>НУЗ "Дорожный центр ВМ и Р ОАО "РЖД"</t>
  </si>
  <si>
    <t>OOO "Клиника Эксперт Уфа"</t>
  </si>
  <si>
    <t>ГБУЗ РКПЦ МЗ РБ</t>
  </si>
  <si>
    <t>Клинический госпиталь ООО "МД Проект-2010" (Мать и дитя)</t>
  </si>
  <si>
    <t xml:space="preserve">ООО Клиника МРТ-ПРОГРЕСС                                                                                 </t>
  </si>
  <si>
    <t xml:space="preserve">ООО ЛДЦ МИБС-Уфа                                                                                                      </t>
  </si>
  <si>
    <t xml:space="preserve">ООО МедТех                                                            </t>
  </si>
  <si>
    <t>Медицинская помощь, оказываемая в условиях дневных стационаров всех типов,                                                              на 2018 год.</t>
  </si>
  <si>
    <t>(случай лечения)</t>
  </si>
  <si>
    <t xml:space="preserve">В дневных стационарах всех типов </t>
  </si>
  <si>
    <t>Всего ОМС</t>
  </si>
  <si>
    <t xml:space="preserve">В рамках базовой программы ОМС </t>
  </si>
  <si>
    <t>в том числе ЭКО для   каждого   этапа*</t>
  </si>
  <si>
    <t>В рамках  сверхбазовой программы ОМС  Кибер-нож</t>
  </si>
  <si>
    <t>ГАУЗ РБ "Санаторий для детей НУР г. Стерлитамак"</t>
  </si>
  <si>
    <r>
      <t xml:space="preserve">ГБУЗ РБ </t>
    </r>
    <r>
      <rPr>
        <sz val="10"/>
        <color theme="1"/>
        <rFont val="Times New Roman"/>
        <family val="1"/>
        <charset val="204"/>
      </rPr>
      <t>Детская поликлиника № 6 г. Уфа</t>
    </r>
  </si>
  <si>
    <t xml:space="preserve">АО "Медторгсервис" </t>
  </si>
  <si>
    <t>ООО "Медицинский Центр "Агидель"</t>
  </si>
  <si>
    <r>
      <t>ООО "АНЭКО</t>
    </r>
    <r>
      <rPr>
        <b/>
        <sz val="10"/>
        <color rgb="FF000000"/>
        <rFont val="Times New Roman"/>
        <family val="1"/>
        <charset val="204"/>
      </rPr>
      <t>"*</t>
    </r>
  </si>
  <si>
    <t>ООО "Клиника глазных болезней"</t>
  </si>
  <si>
    <r>
      <t>ООО "МД Проект 2010"</t>
    </r>
    <r>
      <rPr>
        <b/>
        <sz val="10"/>
        <color rgb="FF000000"/>
        <rFont val="Times New Roman"/>
        <family val="1"/>
        <charset val="204"/>
      </rPr>
      <t>*</t>
    </r>
  </si>
  <si>
    <r>
      <t>ООО "ЦМТ</t>
    </r>
    <r>
      <rPr>
        <b/>
        <sz val="10"/>
        <color rgb="FF000000"/>
        <rFont val="Times New Roman"/>
        <family val="1"/>
        <charset val="204"/>
      </rPr>
      <t>"*</t>
    </r>
  </si>
  <si>
    <t>ООО "Экома"</t>
  </si>
  <si>
    <r>
      <t>ГБУЗ "РКПЦ" МЗ РБ</t>
    </r>
    <r>
      <rPr>
        <b/>
        <sz val="10"/>
        <color rgb="FF000000"/>
        <rFont val="Times New Roman"/>
        <family val="1"/>
        <charset val="204"/>
      </rPr>
      <t>*</t>
    </r>
  </si>
  <si>
    <t>ООО "ПЭТ-Технолоджи" (КТ/ПЭТ исследования),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</si>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</sst>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0" fontId="10" fillId="0" borderId="0"/>
    <xf numFmtId="0" fontId="3" fillId="0" borderId="0"/>
    <xf numFmtId="0" fontId="2" fillId="0" borderId="0"/>
    <xf numFmtId="0" fontId="24" fillId="0" borderId="0"/>
    <xf numFmtId="0" fontId="1" fillId="0" borderId="0"/>
    <xf numFmtId="0" fontId="10" fillId="0" borderId="0"/>
    <xf numFmtId="0" fontId="8" fillId="0" borderId="0"/>
    <xf numFmtId="164" fontId="24" fillId="0" borderId="0" applyFont="0" applyFill="0" applyBorder="0" applyAlignment="0" applyProtection="0"/>
  </cellStyleXfs>
  <cellXfs count="208">
    <xf numFmtId="0" fontId="0" fillId="0" borderId="0" xfId="0"/>
    <xf numFmtId="0" fontId="6" fillId="0" borderId="0" xfId="0" applyFont="1" applyFill="1"/>
    <xf numFmtId="0" fontId="17" fillId="0" borderId="0" xfId="0" applyFont="1" applyFill="1"/>
    <xf numFmtId="3" fontId="14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vertical="center" wrapText="1"/>
    </xf>
    <xf numFmtId="4" fontId="9" fillId="0" borderId="2" xfId="2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" fontId="9" fillId="0" borderId="2" xfId="0" applyNumberFormat="1" applyFont="1" applyFill="1" applyBorder="1" applyAlignment="1">
      <alignment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3" fontId="6" fillId="0" borderId="0" xfId="0" applyNumberFormat="1" applyFont="1" applyFill="1"/>
    <xf numFmtId="3" fontId="11" fillId="0" borderId="2" xfId="0" applyNumberFormat="1" applyFont="1" applyFill="1" applyBorder="1"/>
    <xf numFmtId="4" fontId="13" fillId="0" borderId="7" xfId="0" applyNumberFormat="1" applyFont="1" applyFill="1" applyBorder="1" applyAlignment="1">
      <alignment vertical="center" wrapText="1"/>
    </xf>
    <xf numFmtId="0" fontId="6" fillId="0" borderId="2" xfId="0" applyFont="1" applyFill="1" applyBorder="1"/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3" fontId="21" fillId="0" borderId="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Fill="1"/>
    <xf numFmtId="3" fontId="11" fillId="0" borderId="0" xfId="0" applyNumberFormat="1" applyFont="1" applyFill="1"/>
    <xf numFmtId="3" fontId="13" fillId="0" borderId="0" xfId="0" applyNumberFormat="1" applyFont="1" applyFill="1"/>
    <xf numFmtId="4" fontId="7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16" fillId="0" borderId="0" xfId="0" applyFont="1" applyFill="1" applyAlignment="1">
      <alignment horizontal="justify" vertical="center"/>
    </xf>
    <xf numFmtId="0" fontId="18" fillId="0" borderId="0" xfId="0" applyFont="1" applyFill="1"/>
    <xf numFmtId="3" fontId="12" fillId="0" borderId="2" xfId="0" applyNumberFormat="1" applyFont="1" applyFill="1" applyBorder="1" applyAlignment="1">
      <alignment horizontal="center" vertical="center"/>
    </xf>
    <xf numFmtId="3" fontId="18" fillId="0" borderId="0" xfId="0" applyNumberFormat="1" applyFont="1" applyFill="1"/>
    <xf numFmtId="4" fontId="19" fillId="0" borderId="2" xfId="2" applyNumberFormat="1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3" fontId="20" fillId="0" borderId="0" xfId="0" applyNumberFormat="1" applyFont="1" applyFill="1"/>
    <xf numFmtId="4" fontId="19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 applyAlignment="1">
      <alignment horizontal="left"/>
    </xf>
    <xf numFmtId="3" fontId="22" fillId="0" borderId="0" xfId="0" applyNumberFormat="1" applyFont="1" applyFill="1"/>
    <xf numFmtId="3" fontId="0" fillId="0" borderId="0" xfId="0" applyNumberFormat="1" applyFill="1"/>
    <xf numFmtId="0" fontId="12" fillId="0" borderId="2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5" fillId="0" borderId="0" xfId="0" applyFont="1" applyFill="1" applyAlignment="1">
      <alignment horizontal="center" vertical="center"/>
    </xf>
    <xf numFmtId="0" fontId="26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/>
    <xf numFmtId="3" fontId="26" fillId="0" borderId="2" xfId="0" applyNumberFormat="1" applyFont="1" applyFill="1" applyBorder="1" applyAlignment="1">
      <alignment horizontal="center" vertical="center"/>
    </xf>
    <xf numFmtId="3" fontId="26" fillId="0" borderId="0" xfId="0" applyNumberFormat="1" applyFont="1" applyFill="1"/>
    <xf numFmtId="0" fontId="26" fillId="0" borderId="2" xfId="0" applyFont="1" applyFill="1" applyBorder="1" applyAlignment="1">
      <alignment wrapText="1"/>
    </xf>
    <xf numFmtId="0" fontId="26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/>
    </xf>
    <xf numFmtId="3" fontId="27" fillId="0" borderId="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7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ill="1" applyBorder="1"/>
    <xf numFmtId="3" fontId="29" fillId="0" borderId="0" xfId="0" applyNumberFormat="1" applyFont="1" applyFill="1"/>
    <xf numFmtId="0" fontId="29" fillId="0" borderId="0" xfId="0" applyFont="1" applyFill="1"/>
    <xf numFmtId="0" fontId="28" fillId="0" borderId="0" xfId="0" applyFont="1" applyFill="1" applyAlignment="1">
      <alignment horizontal="center" vertical="center"/>
    </xf>
    <xf numFmtId="3" fontId="30" fillId="0" borderId="0" xfId="0" applyNumberFormat="1" applyFont="1" applyFill="1"/>
    <xf numFmtId="0" fontId="30" fillId="0" borderId="0" xfId="0" applyFont="1" applyFill="1"/>
    <xf numFmtId="3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/>
    <xf numFmtId="0" fontId="7" fillId="0" borderId="0" xfId="0" applyFont="1" applyFill="1"/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left" wrapText="1"/>
    </xf>
    <xf numFmtId="4" fontId="7" fillId="0" borderId="2" xfId="9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/>
    </xf>
    <xf numFmtId="3" fontId="3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textRotation="90" wrapText="1"/>
    </xf>
    <xf numFmtId="3" fontId="34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3" fontId="34" fillId="0" borderId="4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3" fontId="35" fillId="0" borderId="2" xfId="0" applyNumberFormat="1" applyFont="1" applyFill="1" applyBorder="1" applyAlignment="1" applyProtection="1">
      <alignment horizontal="center"/>
      <protection locked="0"/>
    </xf>
    <xf numFmtId="3" fontId="34" fillId="0" borderId="2" xfId="0" applyNumberFormat="1" applyFont="1" applyFill="1" applyBorder="1" applyAlignment="1">
      <alignment horizontal="center" vertical="center" wrapText="1"/>
    </xf>
    <xf numFmtId="3" fontId="34" fillId="0" borderId="5" xfId="0" applyNumberFormat="1" applyFont="1" applyFill="1" applyBorder="1" applyAlignment="1">
      <alignment horizontal="center" vertical="center" wrapText="1"/>
    </xf>
    <xf numFmtId="3" fontId="36" fillId="0" borderId="3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0" fontId="38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3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center" vertical="center" wrapText="1"/>
    </xf>
    <xf numFmtId="3" fontId="39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9" fillId="0" borderId="2" xfId="0" applyFont="1" applyFill="1" applyBorder="1" applyAlignment="1">
      <alignment horizontal="center" vertical="center" wrapText="1"/>
    </xf>
    <xf numFmtId="3" fontId="39" fillId="0" borderId="2" xfId="0" applyNumberFormat="1" applyFont="1" applyFill="1" applyBorder="1" applyAlignment="1">
      <alignment vertical="center"/>
    </xf>
    <xf numFmtId="3" fontId="39" fillId="0" borderId="2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vertical="center" wrapText="1"/>
    </xf>
    <xf numFmtId="0" fontId="41" fillId="0" borderId="2" xfId="0" applyFont="1" applyFill="1" applyBorder="1" applyAlignment="1">
      <alignment horizontal="center" vertical="center" wrapText="1"/>
    </xf>
    <xf numFmtId="3" fontId="42" fillId="0" borderId="2" xfId="0" applyNumberFormat="1" applyFont="1" applyFill="1" applyBorder="1" applyAlignment="1">
      <alignment vertical="center" wrapText="1"/>
    </xf>
    <xf numFmtId="3" fontId="41" fillId="0" borderId="2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/>
    <xf numFmtId="0" fontId="44" fillId="0" borderId="2" xfId="0" applyFont="1" applyFill="1" applyBorder="1"/>
    <xf numFmtId="3" fontId="45" fillId="0" borderId="2" xfId="0" applyNumberFormat="1" applyFont="1" applyFill="1" applyBorder="1" applyAlignment="1">
      <alignment vertical="center"/>
    </xf>
    <xf numFmtId="3" fontId="45" fillId="0" borderId="2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6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" fontId="30" fillId="0" borderId="2" xfId="10" applyNumberFormat="1" applyFont="1" applyFill="1" applyBorder="1" applyAlignment="1">
      <alignment horizontal="left" vertical="center" wrapText="1"/>
    </xf>
    <xf numFmtId="3" fontId="30" fillId="0" borderId="3" xfId="0" applyNumberFormat="1" applyFont="1" applyFill="1" applyBorder="1" applyAlignment="1">
      <alignment horizontal="right" vertical="center"/>
    </xf>
    <xf numFmtId="3" fontId="30" fillId="0" borderId="2" xfId="0" applyNumberFormat="1" applyFont="1" applyFill="1" applyBorder="1" applyAlignment="1">
      <alignment horizontal="right" vertical="center"/>
    </xf>
    <xf numFmtId="3" fontId="30" fillId="0" borderId="2" xfId="10" applyNumberFormat="1" applyFont="1" applyFill="1" applyBorder="1" applyAlignment="1">
      <alignment horizontal="left" vertical="center" wrapText="1"/>
    </xf>
    <xf numFmtId="3" fontId="30" fillId="0" borderId="2" xfId="0" applyNumberFormat="1" applyFont="1" applyFill="1" applyBorder="1" applyAlignment="1">
      <alignment horizontal="right"/>
    </xf>
    <xf numFmtId="3" fontId="30" fillId="0" borderId="2" xfId="4" applyNumberFormat="1" applyFont="1" applyFill="1" applyBorder="1" applyAlignment="1">
      <alignment horizontal="left" vertical="center" wrapText="1"/>
    </xf>
    <xf numFmtId="3" fontId="30" fillId="0" borderId="7" xfId="0" applyNumberFormat="1" applyFont="1" applyFill="1" applyBorder="1" applyAlignment="1">
      <alignment horizontal="right"/>
    </xf>
    <xf numFmtId="3" fontId="30" fillId="0" borderId="7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left"/>
    </xf>
    <xf numFmtId="4" fontId="30" fillId="0" borderId="2" xfId="10" applyNumberFormat="1" applyFont="1" applyFill="1" applyBorder="1" applyAlignment="1">
      <alignment horizontal="left" vertical="center" wrapText="1"/>
    </xf>
    <xf numFmtId="3" fontId="48" fillId="0" borderId="2" xfId="0" applyNumberFormat="1" applyFont="1" applyFill="1" applyBorder="1" applyAlignment="1">
      <alignment horizontal="right" vertical="center"/>
    </xf>
    <xf numFmtId="3" fontId="48" fillId="0" borderId="2" xfId="10" applyNumberFormat="1" applyFont="1" applyFill="1" applyBorder="1" applyAlignment="1">
      <alignment horizontal="left" vertical="center" wrapText="1"/>
    </xf>
    <xf numFmtId="0" fontId="48" fillId="0" borderId="0" xfId="0" applyFont="1" applyFill="1"/>
    <xf numFmtId="3" fontId="30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 vertical="center"/>
    </xf>
    <xf numFmtId="3" fontId="49" fillId="0" borderId="2" xfId="0" applyNumberFormat="1" applyFont="1" applyFill="1" applyBorder="1" applyAlignment="1">
      <alignment horizontal="center" vertical="center" wrapText="1"/>
    </xf>
    <xf numFmtId="3" fontId="49" fillId="0" borderId="2" xfId="0" applyNumberFormat="1" applyFont="1" applyFill="1" applyBorder="1" applyAlignment="1">
      <alignment vertical="center"/>
    </xf>
    <xf numFmtId="4" fontId="50" fillId="0" borderId="2" xfId="2" applyNumberFormat="1" applyFont="1" applyFill="1" applyBorder="1" applyAlignment="1">
      <alignment horizontal="left" vertical="center" wrapText="1"/>
    </xf>
    <xf numFmtId="3" fontId="50" fillId="0" borderId="2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/>
    <xf numFmtId="4" fontId="50" fillId="0" borderId="2" xfId="0" applyNumberFormat="1" applyFont="1" applyFill="1" applyBorder="1" applyAlignment="1">
      <alignment wrapText="1"/>
    </xf>
    <xf numFmtId="3" fontId="49" fillId="0" borderId="2" xfId="0" applyNumberFormat="1" applyFont="1" applyFill="1" applyBorder="1" applyAlignment="1">
      <alignment vertical="center" wrapText="1"/>
    </xf>
    <xf numFmtId="3" fontId="49" fillId="0" borderId="2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 vertical="center"/>
    </xf>
    <xf numFmtId="3" fontId="50" fillId="0" borderId="2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/>
    </xf>
    <xf numFmtId="3" fontId="26" fillId="0" borderId="2" xfId="0" applyNumberFormat="1" applyFont="1" applyFill="1" applyBorder="1"/>
    <xf numFmtId="3" fontId="26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horizontal="justify" vertical="center"/>
    </xf>
    <xf numFmtId="0" fontId="26" fillId="0" borderId="0" xfId="0" applyFont="1" applyFill="1" applyAlignment="1">
      <alignment horizontal="justify" vertical="center"/>
    </xf>
    <xf numFmtId="3" fontId="26" fillId="0" borderId="0" xfId="11" applyNumberFormat="1" applyFont="1" applyFill="1" applyAlignment="1">
      <alignment horizontal="center"/>
    </xf>
    <xf numFmtId="2" fontId="28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3" fontId="30" fillId="0" borderId="4" xfId="0" applyNumberFormat="1" applyFont="1" applyFill="1" applyBorder="1" applyAlignment="1">
      <alignment horizontal="center" vertical="center" wrapText="1"/>
    </xf>
    <xf numFmtId="3" fontId="30" fillId="0" borderId="5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right"/>
    </xf>
    <xf numFmtId="3" fontId="49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2" fontId="30" fillId="0" borderId="2" xfId="10" applyNumberFormat="1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4"/>
    <cellStyle name="Обычный 2 3" xfId="7"/>
    <cellStyle name="Обычный 3" xfId="5"/>
    <cellStyle name="Обычный 4" xfId="6"/>
    <cellStyle name="Обычный 5" xfId="8"/>
    <cellStyle name="Обычный_17.04.2007 Свод(общий)" xfId="10"/>
    <cellStyle name="Обычный_Ежемесячный отчет 2004 г." xfId="2"/>
    <cellStyle name="Обычный_Лист1" xfId="9"/>
    <cellStyle name="Финансовый" xfId="1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pane xSplit="2" ySplit="6" topLeftCell="C103" activePane="bottomRight" state="frozen"/>
      <selection pane="topRight" activeCell="C1" sqref="C1"/>
      <selection pane="bottomLeft" activeCell="A7" sqref="A7"/>
      <selection pane="bottomRight" activeCell="D119" sqref="D119"/>
    </sheetView>
  </sheetViews>
  <sheetFormatPr defaultRowHeight="15" x14ac:dyDescent="0.25"/>
  <cols>
    <col min="1" max="1" width="5.42578125" style="57" customWidth="1"/>
    <col min="2" max="2" width="39.28515625" style="57" customWidth="1"/>
    <col min="3" max="3" width="15.42578125" style="57" customWidth="1"/>
    <col min="4" max="4" width="13.140625" style="56" customWidth="1"/>
    <col min="5" max="5" width="12.5703125" style="56" customWidth="1"/>
    <col min="6" max="6" width="14.140625" style="56" customWidth="1"/>
    <col min="7" max="7" width="14.28515625" style="56" customWidth="1"/>
    <col min="8" max="8" width="9.140625" style="56"/>
    <col min="9" max="16384" width="9.140625" style="57"/>
  </cols>
  <sheetData>
    <row r="1" spans="1:8" ht="24.75" customHeight="1" x14ac:dyDescent="0.25">
      <c r="A1" s="153" t="s">
        <v>245</v>
      </c>
      <c r="B1" s="154"/>
      <c r="C1" s="154"/>
      <c r="D1" s="154"/>
      <c r="E1" s="154"/>
      <c r="F1" s="154"/>
      <c r="G1" s="154"/>
    </row>
    <row r="2" spans="1:8" ht="18.75" customHeight="1" x14ac:dyDescent="0.25">
      <c r="A2" s="58"/>
      <c r="E2" s="155" t="s">
        <v>246</v>
      </c>
      <c r="F2" s="155"/>
      <c r="G2" s="155"/>
    </row>
    <row r="3" spans="1:8" s="60" customFormat="1" ht="17.25" customHeight="1" x14ac:dyDescent="0.2">
      <c r="A3" s="156" t="s">
        <v>10</v>
      </c>
      <c r="B3" s="156" t="s">
        <v>11</v>
      </c>
      <c r="C3" s="156" t="s">
        <v>247</v>
      </c>
      <c r="D3" s="159" t="s">
        <v>12</v>
      </c>
      <c r="E3" s="159"/>
      <c r="F3" s="159"/>
      <c r="G3" s="159"/>
      <c r="H3" s="59"/>
    </row>
    <row r="4" spans="1:8" s="62" customFormat="1" ht="15" customHeight="1" x14ac:dyDescent="0.25">
      <c r="A4" s="157"/>
      <c r="B4" s="157"/>
      <c r="C4" s="157"/>
      <c r="D4" s="160" t="s">
        <v>248</v>
      </c>
      <c r="E4" s="160" t="s">
        <v>249</v>
      </c>
      <c r="F4" s="162" t="s">
        <v>13</v>
      </c>
      <c r="G4" s="163"/>
      <c r="H4" s="61"/>
    </row>
    <row r="5" spans="1:8" s="62" customFormat="1" ht="46.5" customHeight="1" x14ac:dyDescent="0.25">
      <c r="A5" s="158"/>
      <c r="B5" s="158"/>
      <c r="C5" s="158"/>
      <c r="D5" s="161"/>
      <c r="E5" s="161"/>
      <c r="F5" s="63" t="s">
        <v>250</v>
      </c>
      <c r="G5" s="64" t="s">
        <v>251</v>
      </c>
      <c r="H5" s="61"/>
    </row>
    <row r="6" spans="1:8" s="68" customFormat="1" ht="15.75" x14ac:dyDescent="0.25">
      <c r="A6" s="65">
        <v>1</v>
      </c>
      <c r="B6" s="65">
        <v>2</v>
      </c>
      <c r="C6" s="65">
        <v>3</v>
      </c>
      <c r="D6" s="66">
        <v>4</v>
      </c>
      <c r="E6" s="66">
        <v>5</v>
      </c>
      <c r="F6" s="65">
        <v>6</v>
      </c>
      <c r="G6" s="65">
        <v>7</v>
      </c>
      <c r="H6" s="67"/>
    </row>
    <row r="7" spans="1:8" s="68" customFormat="1" ht="15.75" x14ac:dyDescent="0.25">
      <c r="A7" s="69">
        <v>1</v>
      </c>
      <c r="B7" s="70" t="s">
        <v>14</v>
      </c>
      <c r="C7" s="71">
        <f>D7+E7+G7</f>
        <v>14334</v>
      </c>
      <c r="D7" s="71"/>
      <c r="E7" s="71">
        <f>14282+52</f>
        <v>14334</v>
      </c>
      <c r="F7" s="71"/>
      <c r="G7" s="71"/>
      <c r="H7" s="67"/>
    </row>
    <row r="8" spans="1:8" s="68" customFormat="1" ht="15.75" x14ac:dyDescent="0.25">
      <c r="A8" s="69">
        <v>2</v>
      </c>
      <c r="B8" s="70" t="s">
        <v>15</v>
      </c>
      <c r="C8" s="71">
        <f t="shared" ref="C8:C72" si="0">D8+E8+G8</f>
        <v>4515</v>
      </c>
      <c r="D8" s="71"/>
      <c r="E8" s="71">
        <f>4505+10</f>
        <v>4515</v>
      </c>
      <c r="F8" s="71"/>
      <c r="G8" s="71"/>
      <c r="H8" s="67"/>
    </row>
    <row r="9" spans="1:8" s="68" customFormat="1" ht="15.75" x14ac:dyDescent="0.25">
      <c r="A9" s="69">
        <v>3</v>
      </c>
      <c r="B9" s="70" t="s">
        <v>16</v>
      </c>
      <c r="C9" s="71">
        <f t="shared" si="0"/>
        <v>2416</v>
      </c>
      <c r="D9" s="71"/>
      <c r="E9" s="71">
        <f>2456-39-1</f>
        <v>2416</v>
      </c>
      <c r="F9" s="71"/>
      <c r="G9" s="71"/>
      <c r="H9" s="67"/>
    </row>
    <row r="10" spans="1:8" s="68" customFormat="1" ht="15.75" x14ac:dyDescent="0.25">
      <c r="A10" s="69">
        <v>4</v>
      </c>
      <c r="B10" s="70" t="s">
        <v>17</v>
      </c>
      <c r="C10" s="71">
        <f t="shared" si="0"/>
        <v>1714</v>
      </c>
      <c r="D10" s="71"/>
      <c r="E10" s="71">
        <f>1706+8</f>
        <v>1714</v>
      </c>
      <c r="F10" s="71"/>
      <c r="G10" s="71"/>
      <c r="H10" s="67"/>
    </row>
    <row r="11" spans="1:8" s="68" customFormat="1" ht="15.75" x14ac:dyDescent="0.25">
      <c r="A11" s="69">
        <v>5</v>
      </c>
      <c r="B11" s="70" t="s">
        <v>18</v>
      </c>
      <c r="C11" s="71">
        <f t="shared" si="0"/>
        <v>3261</v>
      </c>
      <c r="D11" s="71"/>
      <c r="E11" s="71">
        <f>3252+9</f>
        <v>3261</v>
      </c>
      <c r="F11" s="71"/>
      <c r="G11" s="71"/>
      <c r="H11" s="67"/>
    </row>
    <row r="12" spans="1:8" s="68" customFormat="1" ht="15.75" x14ac:dyDescent="0.25">
      <c r="A12" s="69">
        <v>6</v>
      </c>
      <c r="B12" s="70" t="s">
        <v>19</v>
      </c>
      <c r="C12" s="71">
        <f t="shared" si="0"/>
        <v>4521</v>
      </c>
      <c r="D12" s="71"/>
      <c r="E12" s="71">
        <f>4512+9</f>
        <v>4521</v>
      </c>
      <c r="F12" s="71"/>
      <c r="G12" s="71"/>
      <c r="H12" s="67"/>
    </row>
    <row r="13" spans="1:8" s="68" customFormat="1" ht="15.75" x14ac:dyDescent="0.25">
      <c r="A13" s="69">
        <v>7</v>
      </c>
      <c r="B13" s="70" t="s">
        <v>20</v>
      </c>
      <c r="C13" s="71">
        <f t="shared" si="0"/>
        <v>19222</v>
      </c>
      <c r="D13" s="71"/>
      <c r="E13" s="71">
        <f>18985+190-1-20+68</f>
        <v>19222</v>
      </c>
      <c r="F13" s="71"/>
      <c r="G13" s="71"/>
      <c r="H13" s="67"/>
    </row>
    <row r="14" spans="1:8" s="68" customFormat="1" ht="15.75" x14ac:dyDescent="0.25">
      <c r="A14" s="69">
        <v>8</v>
      </c>
      <c r="B14" s="70" t="s">
        <v>21</v>
      </c>
      <c r="C14" s="71">
        <f t="shared" si="0"/>
        <v>9530</v>
      </c>
      <c r="D14" s="71"/>
      <c r="E14" s="71">
        <f>9552-22</f>
        <v>9530</v>
      </c>
      <c r="F14" s="71"/>
      <c r="G14" s="71"/>
      <c r="H14" s="67"/>
    </row>
    <row r="15" spans="1:8" s="68" customFormat="1" ht="15.75" x14ac:dyDescent="0.25">
      <c r="A15" s="69">
        <v>9</v>
      </c>
      <c r="B15" s="70" t="s">
        <v>22</v>
      </c>
      <c r="C15" s="71">
        <f t="shared" si="0"/>
        <v>4346</v>
      </c>
      <c r="D15" s="71"/>
      <c r="E15" s="71">
        <f>4328+18</f>
        <v>4346</v>
      </c>
      <c r="F15" s="71"/>
      <c r="G15" s="71"/>
      <c r="H15" s="67"/>
    </row>
    <row r="16" spans="1:8" s="68" customFormat="1" ht="15.75" x14ac:dyDescent="0.25">
      <c r="A16" s="69">
        <v>10</v>
      </c>
      <c r="B16" s="70" t="s">
        <v>23</v>
      </c>
      <c r="C16" s="71">
        <f t="shared" si="0"/>
        <v>1779</v>
      </c>
      <c r="D16" s="71"/>
      <c r="E16" s="71">
        <f>1785-6</f>
        <v>1779</v>
      </c>
      <c r="F16" s="71"/>
      <c r="G16" s="71"/>
      <c r="H16" s="67"/>
    </row>
    <row r="17" spans="1:8" s="68" customFormat="1" ht="15.75" x14ac:dyDescent="0.25">
      <c r="A17" s="69">
        <v>11</v>
      </c>
      <c r="B17" s="70" t="s">
        <v>24</v>
      </c>
      <c r="C17" s="71">
        <f t="shared" si="0"/>
        <v>2618</v>
      </c>
      <c r="D17" s="71"/>
      <c r="E17" s="71">
        <f>2609+9</f>
        <v>2618</v>
      </c>
      <c r="F17" s="71"/>
      <c r="G17" s="71"/>
      <c r="H17" s="67"/>
    </row>
    <row r="18" spans="1:8" s="68" customFormat="1" ht="15.75" x14ac:dyDescent="0.25">
      <c r="A18" s="69">
        <v>12</v>
      </c>
      <c r="B18" s="70" t="s">
        <v>25</v>
      </c>
      <c r="C18" s="71">
        <f t="shared" si="0"/>
        <v>9234</v>
      </c>
      <c r="D18" s="71"/>
      <c r="E18" s="71">
        <f>9269-35</f>
        <v>9234</v>
      </c>
      <c r="F18" s="71"/>
      <c r="G18" s="71"/>
      <c r="H18" s="67"/>
    </row>
    <row r="19" spans="1:8" s="68" customFormat="1" ht="15.75" x14ac:dyDescent="0.25">
      <c r="A19" s="69">
        <v>13</v>
      </c>
      <c r="B19" s="70" t="s">
        <v>26</v>
      </c>
      <c r="C19" s="71">
        <f t="shared" si="0"/>
        <v>8176</v>
      </c>
      <c r="D19" s="71"/>
      <c r="E19" s="71">
        <f>8206-30</f>
        <v>8176</v>
      </c>
      <c r="F19" s="71"/>
      <c r="G19" s="71"/>
      <c r="H19" s="67"/>
    </row>
    <row r="20" spans="1:8" s="68" customFormat="1" ht="15.75" x14ac:dyDescent="0.25">
      <c r="A20" s="69">
        <v>14</v>
      </c>
      <c r="B20" s="70" t="s">
        <v>27</v>
      </c>
      <c r="C20" s="71">
        <f t="shared" si="0"/>
        <v>23496</v>
      </c>
      <c r="D20" s="71"/>
      <c r="E20" s="71">
        <f>23517-21</f>
        <v>23496</v>
      </c>
      <c r="F20" s="71"/>
      <c r="G20" s="71"/>
      <c r="H20" s="67"/>
    </row>
    <row r="21" spans="1:8" s="68" customFormat="1" ht="36" x14ac:dyDescent="0.25">
      <c r="A21" s="69">
        <v>15</v>
      </c>
      <c r="B21" s="8" t="s">
        <v>28</v>
      </c>
      <c r="C21" s="71">
        <f t="shared" si="0"/>
        <v>1499</v>
      </c>
      <c r="D21" s="71"/>
      <c r="E21" s="71">
        <f>1493+6</f>
        <v>1499</v>
      </c>
      <c r="F21" s="71"/>
      <c r="G21" s="71"/>
      <c r="H21" s="67"/>
    </row>
    <row r="22" spans="1:8" s="68" customFormat="1" ht="15.75" x14ac:dyDescent="0.25">
      <c r="A22" s="69">
        <v>16</v>
      </c>
      <c r="B22" s="70" t="s">
        <v>29</v>
      </c>
      <c r="C22" s="71">
        <f t="shared" si="0"/>
        <v>5459</v>
      </c>
      <c r="D22" s="71"/>
      <c r="E22" s="71">
        <f>5483-24</f>
        <v>5459</v>
      </c>
      <c r="F22" s="71"/>
      <c r="G22" s="71"/>
      <c r="H22" s="67"/>
    </row>
    <row r="23" spans="1:8" s="68" customFormat="1" ht="15.75" x14ac:dyDescent="0.25">
      <c r="A23" s="69">
        <v>17</v>
      </c>
      <c r="B23" s="70" t="s">
        <v>30</v>
      </c>
      <c r="C23" s="71">
        <f t="shared" si="0"/>
        <v>2428</v>
      </c>
      <c r="D23" s="71"/>
      <c r="E23" s="71">
        <f>2417+11</f>
        <v>2428</v>
      </c>
      <c r="F23" s="71"/>
      <c r="G23" s="71"/>
      <c r="H23" s="67"/>
    </row>
    <row r="24" spans="1:8" s="68" customFormat="1" ht="15.75" x14ac:dyDescent="0.25">
      <c r="A24" s="69">
        <v>18</v>
      </c>
      <c r="B24" s="70" t="s">
        <v>31</v>
      </c>
      <c r="C24" s="71">
        <f t="shared" si="0"/>
        <v>1955</v>
      </c>
      <c r="D24" s="71"/>
      <c r="E24" s="71">
        <f>1946+9</f>
        <v>1955</v>
      </c>
      <c r="F24" s="71"/>
      <c r="G24" s="71"/>
      <c r="H24" s="67"/>
    </row>
    <row r="25" spans="1:8" s="68" customFormat="1" ht="15.75" x14ac:dyDescent="0.25">
      <c r="A25" s="69">
        <v>19</v>
      </c>
      <c r="B25" s="70" t="s">
        <v>32</v>
      </c>
      <c r="C25" s="71">
        <f t="shared" si="0"/>
        <v>2151</v>
      </c>
      <c r="D25" s="71"/>
      <c r="E25" s="71">
        <f>2146+5</f>
        <v>2151</v>
      </c>
      <c r="F25" s="71"/>
      <c r="G25" s="71"/>
      <c r="H25" s="67"/>
    </row>
    <row r="26" spans="1:8" s="68" customFormat="1" ht="15.75" x14ac:dyDescent="0.25">
      <c r="A26" s="69">
        <v>20</v>
      </c>
      <c r="B26" s="70" t="s">
        <v>33</v>
      </c>
      <c r="C26" s="71">
        <f t="shared" si="0"/>
        <v>2581</v>
      </c>
      <c r="D26" s="71"/>
      <c r="E26" s="71">
        <f>2583-2</f>
        <v>2581</v>
      </c>
      <c r="F26" s="71"/>
      <c r="G26" s="71"/>
      <c r="H26" s="67"/>
    </row>
    <row r="27" spans="1:8" s="68" customFormat="1" ht="15.75" x14ac:dyDescent="0.25">
      <c r="A27" s="69">
        <v>21</v>
      </c>
      <c r="B27" s="70" t="s">
        <v>34</v>
      </c>
      <c r="C27" s="71">
        <f t="shared" si="0"/>
        <v>2110</v>
      </c>
      <c r="D27" s="71"/>
      <c r="E27" s="71">
        <f>2109+1</f>
        <v>2110</v>
      </c>
      <c r="F27" s="71"/>
      <c r="G27" s="71"/>
      <c r="H27" s="67"/>
    </row>
    <row r="28" spans="1:8" s="68" customFormat="1" ht="15.75" x14ac:dyDescent="0.25">
      <c r="A28" s="69">
        <v>22</v>
      </c>
      <c r="B28" s="70" t="s">
        <v>35</v>
      </c>
      <c r="C28" s="71">
        <f t="shared" si="0"/>
        <v>3020</v>
      </c>
      <c r="D28" s="71"/>
      <c r="E28" s="71">
        <f>3113-77-16</f>
        <v>3020</v>
      </c>
      <c r="F28" s="71"/>
      <c r="G28" s="71"/>
      <c r="H28" s="67"/>
    </row>
    <row r="29" spans="1:8" s="68" customFormat="1" ht="15.75" x14ac:dyDescent="0.25">
      <c r="A29" s="69">
        <v>23</v>
      </c>
      <c r="B29" s="70" t="s">
        <v>36</v>
      </c>
      <c r="C29" s="71">
        <f t="shared" si="0"/>
        <v>2246</v>
      </c>
      <c r="D29" s="71"/>
      <c r="E29" s="71">
        <f>2241+5</f>
        <v>2246</v>
      </c>
      <c r="F29" s="71"/>
      <c r="G29" s="71"/>
      <c r="H29" s="67"/>
    </row>
    <row r="30" spans="1:8" s="68" customFormat="1" ht="15.75" x14ac:dyDescent="0.25">
      <c r="A30" s="69">
        <v>24</v>
      </c>
      <c r="B30" s="70" t="s">
        <v>37</v>
      </c>
      <c r="C30" s="71">
        <f t="shared" si="0"/>
        <v>2796</v>
      </c>
      <c r="D30" s="71"/>
      <c r="E30" s="71">
        <f>2824-28</f>
        <v>2796</v>
      </c>
      <c r="F30" s="71"/>
      <c r="G30" s="71"/>
      <c r="H30" s="67"/>
    </row>
    <row r="31" spans="1:8" s="68" customFormat="1" ht="15.75" x14ac:dyDescent="0.25">
      <c r="A31" s="69">
        <v>25</v>
      </c>
      <c r="B31" s="70" t="s">
        <v>1</v>
      </c>
      <c r="C31" s="71">
        <f t="shared" si="0"/>
        <v>5007</v>
      </c>
      <c r="D31" s="71">
        <f>130+2-1</f>
        <v>131</v>
      </c>
      <c r="E31" s="71">
        <f>4879-2-1</f>
        <v>4876</v>
      </c>
      <c r="F31" s="71"/>
      <c r="G31" s="71"/>
      <c r="H31" s="67"/>
    </row>
    <row r="32" spans="1:8" s="68" customFormat="1" ht="15.75" x14ac:dyDescent="0.25">
      <c r="A32" s="69">
        <v>26</v>
      </c>
      <c r="B32" s="70" t="s">
        <v>38</v>
      </c>
      <c r="C32" s="71">
        <f t="shared" si="0"/>
        <v>2214</v>
      </c>
      <c r="D32" s="71"/>
      <c r="E32" s="71">
        <f>2278-64</f>
        <v>2214</v>
      </c>
      <c r="F32" s="71"/>
      <c r="G32" s="71"/>
      <c r="H32" s="67"/>
    </row>
    <row r="33" spans="1:8" s="68" customFormat="1" ht="15.75" x14ac:dyDescent="0.25">
      <c r="A33" s="69">
        <v>27</v>
      </c>
      <c r="B33" s="70" t="s">
        <v>39</v>
      </c>
      <c r="C33" s="71">
        <f t="shared" si="0"/>
        <v>2742</v>
      </c>
      <c r="D33" s="71"/>
      <c r="E33" s="71">
        <f>2766-24</f>
        <v>2742</v>
      </c>
      <c r="F33" s="71"/>
      <c r="G33" s="71"/>
      <c r="H33" s="67"/>
    </row>
    <row r="34" spans="1:8" s="68" customFormat="1" ht="15.75" x14ac:dyDescent="0.25">
      <c r="A34" s="69">
        <v>28</v>
      </c>
      <c r="B34" s="70" t="s">
        <v>40</v>
      </c>
      <c r="C34" s="71">
        <f t="shared" si="0"/>
        <v>1787</v>
      </c>
      <c r="D34" s="71"/>
      <c r="E34" s="71">
        <f>1789-2</f>
        <v>1787</v>
      </c>
      <c r="F34" s="71"/>
      <c r="G34" s="71"/>
      <c r="H34" s="67"/>
    </row>
    <row r="35" spans="1:8" s="68" customFormat="1" ht="15.75" x14ac:dyDescent="0.25">
      <c r="A35" s="69">
        <v>29</v>
      </c>
      <c r="B35" s="70" t="s">
        <v>41</v>
      </c>
      <c r="C35" s="71">
        <f t="shared" si="0"/>
        <v>3618</v>
      </c>
      <c r="D35" s="71"/>
      <c r="E35" s="71">
        <f>3635-17</f>
        <v>3618</v>
      </c>
      <c r="F35" s="71"/>
      <c r="G35" s="71"/>
      <c r="H35" s="67"/>
    </row>
    <row r="36" spans="1:8" s="68" customFormat="1" ht="15.75" x14ac:dyDescent="0.25">
      <c r="A36" s="69">
        <v>30</v>
      </c>
      <c r="B36" s="70" t="s">
        <v>42</v>
      </c>
      <c r="C36" s="71">
        <f t="shared" si="0"/>
        <v>9908</v>
      </c>
      <c r="D36" s="71"/>
      <c r="E36" s="71">
        <f>9866+20+22</f>
        <v>9908</v>
      </c>
      <c r="F36" s="71"/>
      <c r="G36" s="71"/>
      <c r="H36" s="67"/>
    </row>
    <row r="37" spans="1:8" s="68" customFormat="1" ht="15.75" x14ac:dyDescent="0.25">
      <c r="A37" s="69">
        <v>31</v>
      </c>
      <c r="B37" s="70" t="s">
        <v>43</v>
      </c>
      <c r="C37" s="71">
        <f t="shared" si="0"/>
        <v>6673</v>
      </c>
      <c r="D37" s="71"/>
      <c r="E37" s="71">
        <f>6660+13</f>
        <v>6673</v>
      </c>
      <c r="F37" s="71"/>
      <c r="G37" s="71"/>
      <c r="H37" s="67"/>
    </row>
    <row r="38" spans="1:8" s="68" customFormat="1" ht="15.75" x14ac:dyDescent="0.25">
      <c r="A38" s="69">
        <v>32</v>
      </c>
      <c r="B38" s="70" t="s">
        <v>44</v>
      </c>
      <c r="C38" s="71">
        <f t="shared" si="0"/>
        <v>3281</v>
      </c>
      <c r="D38" s="71"/>
      <c r="E38" s="71">
        <f>3272+9</f>
        <v>3281</v>
      </c>
      <c r="F38" s="71"/>
      <c r="G38" s="71"/>
      <c r="H38" s="67"/>
    </row>
    <row r="39" spans="1:8" s="68" customFormat="1" ht="15.75" x14ac:dyDescent="0.25">
      <c r="A39" s="69">
        <v>33</v>
      </c>
      <c r="B39" s="70" t="s">
        <v>45</v>
      </c>
      <c r="C39" s="71">
        <f t="shared" si="0"/>
        <v>1689</v>
      </c>
      <c r="D39" s="71"/>
      <c r="E39" s="71">
        <f>1728-39</f>
        <v>1689</v>
      </c>
      <c r="F39" s="71"/>
      <c r="G39" s="71"/>
      <c r="H39" s="67"/>
    </row>
    <row r="40" spans="1:8" s="68" customFormat="1" ht="15.75" x14ac:dyDescent="0.25">
      <c r="A40" s="69">
        <v>34</v>
      </c>
      <c r="B40" s="70" t="s">
        <v>46</v>
      </c>
      <c r="C40" s="71">
        <f t="shared" si="0"/>
        <v>27185</v>
      </c>
      <c r="D40" s="71">
        <f>674-35</f>
        <v>639</v>
      </c>
      <c r="E40" s="71">
        <f>27162-100-516</f>
        <v>26546</v>
      </c>
      <c r="F40" s="71"/>
      <c r="G40" s="71"/>
      <c r="H40" s="67"/>
    </row>
    <row r="41" spans="1:8" s="68" customFormat="1" ht="15.75" x14ac:dyDescent="0.25">
      <c r="A41" s="69">
        <v>35</v>
      </c>
      <c r="B41" s="70" t="s">
        <v>252</v>
      </c>
      <c r="C41" s="71">
        <f t="shared" si="0"/>
        <v>3338</v>
      </c>
      <c r="D41" s="71"/>
      <c r="E41" s="71">
        <f>3330+8</f>
        <v>3338</v>
      </c>
      <c r="F41" s="71"/>
      <c r="G41" s="71"/>
      <c r="H41" s="67"/>
    </row>
    <row r="42" spans="1:8" s="68" customFormat="1" ht="15.75" x14ac:dyDescent="0.25">
      <c r="A42" s="69">
        <v>36</v>
      </c>
      <c r="B42" s="70" t="s">
        <v>47</v>
      </c>
      <c r="C42" s="71">
        <f t="shared" si="0"/>
        <v>11903</v>
      </c>
      <c r="D42" s="71"/>
      <c r="E42" s="71">
        <f>12099-236+40</f>
        <v>11903</v>
      </c>
      <c r="F42" s="71"/>
      <c r="G42" s="71"/>
      <c r="H42" s="67"/>
    </row>
    <row r="43" spans="1:8" s="68" customFormat="1" ht="15.75" x14ac:dyDescent="0.25">
      <c r="A43" s="69">
        <v>37</v>
      </c>
      <c r="B43" s="70" t="s">
        <v>253</v>
      </c>
      <c r="C43" s="71">
        <f t="shared" si="0"/>
        <v>2779</v>
      </c>
      <c r="D43" s="71"/>
      <c r="E43" s="71">
        <f>2769+10</f>
        <v>2779</v>
      </c>
      <c r="F43" s="71"/>
      <c r="G43" s="71"/>
      <c r="H43" s="67"/>
    </row>
    <row r="44" spans="1:8" s="68" customFormat="1" ht="37.5" customHeight="1" x14ac:dyDescent="0.25">
      <c r="A44" s="69">
        <v>38</v>
      </c>
      <c r="B44" s="11" t="s">
        <v>254</v>
      </c>
      <c r="C44" s="71">
        <f t="shared" si="0"/>
        <v>795</v>
      </c>
      <c r="D44" s="71"/>
      <c r="E44" s="71">
        <f>791+4</f>
        <v>795</v>
      </c>
      <c r="F44" s="71"/>
      <c r="G44" s="71"/>
      <c r="H44" s="67"/>
    </row>
    <row r="45" spans="1:8" s="68" customFormat="1" ht="45.75" customHeight="1" x14ac:dyDescent="0.25">
      <c r="A45" s="69">
        <v>39</v>
      </c>
      <c r="B45" s="72" t="s">
        <v>255</v>
      </c>
      <c r="C45" s="71">
        <f t="shared" si="0"/>
        <v>3861</v>
      </c>
      <c r="D45" s="71"/>
      <c r="E45" s="71">
        <f>3868-7</f>
        <v>3861</v>
      </c>
      <c r="F45" s="71"/>
      <c r="G45" s="71"/>
      <c r="H45" s="67"/>
    </row>
    <row r="46" spans="1:8" s="68" customFormat="1" ht="15.75" x14ac:dyDescent="0.25">
      <c r="A46" s="69">
        <v>40</v>
      </c>
      <c r="B46" s="70" t="s">
        <v>48</v>
      </c>
      <c r="C46" s="71">
        <f t="shared" si="0"/>
        <v>5826</v>
      </c>
      <c r="D46" s="71"/>
      <c r="E46" s="71">
        <f>5763+49+14</f>
        <v>5826</v>
      </c>
      <c r="F46" s="71"/>
      <c r="G46" s="71"/>
      <c r="H46" s="67"/>
    </row>
    <row r="47" spans="1:8" s="68" customFormat="1" ht="15.75" x14ac:dyDescent="0.25">
      <c r="A47" s="69">
        <v>41</v>
      </c>
      <c r="B47" s="70" t="s">
        <v>49</v>
      </c>
      <c r="C47" s="71">
        <f t="shared" si="0"/>
        <v>730</v>
      </c>
      <c r="D47" s="71"/>
      <c r="E47" s="71">
        <f>729+1</f>
        <v>730</v>
      </c>
      <c r="F47" s="71"/>
      <c r="G47" s="71"/>
      <c r="H47" s="67"/>
    </row>
    <row r="48" spans="1:8" s="68" customFormat="1" ht="15.75" x14ac:dyDescent="0.25">
      <c r="A48" s="69">
        <v>42</v>
      </c>
      <c r="B48" s="70" t="s">
        <v>50</v>
      </c>
      <c r="C48" s="71">
        <f t="shared" si="0"/>
        <v>10125</v>
      </c>
      <c r="D48" s="71"/>
      <c r="E48" s="71">
        <f>11145-120-900</f>
        <v>10125</v>
      </c>
      <c r="F48" s="71"/>
      <c r="G48" s="71"/>
      <c r="H48" s="67"/>
    </row>
    <row r="49" spans="1:8" s="68" customFormat="1" ht="15.75" x14ac:dyDescent="0.25">
      <c r="A49" s="69">
        <v>43</v>
      </c>
      <c r="B49" s="70" t="s">
        <v>51</v>
      </c>
      <c r="C49" s="71">
        <f t="shared" si="0"/>
        <v>11368</v>
      </c>
      <c r="D49" s="71"/>
      <c r="E49" s="71">
        <f>11348+20</f>
        <v>11368</v>
      </c>
      <c r="F49" s="71"/>
      <c r="G49" s="71"/>
      <c r="H49" s="67"/>
    </row>
    <row r="50" spans="1:8" s="68" customFormat="1" ht="36.75" x14ac:dyDescent="0.25">
      <c r="A50" s="69">
        <v>44</v>
      </c>
      <c r="B50" s="11" t="s">
        <v>52</v>
      </c>
      <c r="C50" s="71">
        <f t="shared" si="0"/>
        <v>1209</v>
      </c>
      <c r="D50" s="71"/>
      <c r="E50" s="71">
        <v>1209</v>
      </c>
      <c r="F50" s="71"/>
      <c r="G50" s="71"/>
      <c r="H50" s="67"/>
    </row>
    <row r="51" spans="1:8" s="68" customFormat="1" ht="15.75" x14ac:dyDescent="0.25">
      <c r="A51" s="69">
        <v>45</v>
      </c>
      <c r="B51" s="70" t="s">
        <v>53</v>
      </c>
      <c r="C51" s="71">
        <f t="shared" si="0"/>
        <v>10926</v>
      </c>
      <c r="D51" s="71"/>
      <c r="E51" s="71">
        <f>10835+63+28</f>
        <v>10926</v>
      </c>
      <c r="F51" s="71"/>
      <c r="G51" s="71"/>
      <c r="H51" s="67"/>
    </row>
    <row r="52" spans="1:8" s="68" customFormat="1" ht="15.75" x14ac:dyDescent="0.25">
      <c r="A52" s="69">
        <v>46</v>
      </c>
      <c r="B52" s="70" t="s">
        <v>54</v>
      </c>
      <c r="C52" s="71">
        <f t="shared" si="0"/>
        <v>12688</v>
      </c>
      <c r="D52" s="71">
        <f>15+5</f>
        <v>20</v>
      </c>
      <c r="E52" s="71">
        <f>17352-17-4725-5+63</f>
        <v>12668</v>
      </c>
      <c r="F52" s="71"/>
      <c r="G52" s="71"/>
      <c r="H52" s="67"/>
    </row>
    <row r="53" spans="1:8" s="68" customFormat="1" ht="36.75" x14ac:dyDescent="0.25">
      <c r="A53" s="69">
        <v>47</v>
      </c>
      <c r="B53" s="11" t="s">
        <v>55</v>
      </c>
      <c r="C53" s="71">
        <f t="shared" si="0"/>
        <v>3238</v>
      </c>
      <c r="D53" s="71"/>
      <c r="E53" s="71">
        <f>3226+12</f>
        <v>3238</v>
      </c>
      <c r="F53" s="71"/>
      <c r="G53" s="71"/>
      <c r="H53" s="67"/>
    </row>
    <row r="54" spans="1:8" s="68" customFormat="1" ht="15.75" x14ac:dyDescent="0.25">
      <c r="A54" s="69">
        <v>48</v>
      </c>
      <c r="B54" s="70" t="s">
        <v>56</v>
      </c>
      <c r="C54" s="71">
        <f t="shared" si="0"/>
        <v>4373</v>
      </c>
      <c r="D54" s="71"/>
      <c r="E54" s="71">
        <f>4725-167-107-78</f>
        <v>4373</v>
      </c>
      <c r="F54" s="71"/>
      <c r="G54" s="71"/>
      <c r="H54" s="67"/>
    </row>
    <row r="55" spans="1:8" s="68" customFormat="1" ht="15.75" x14ac:dyDescent="0.25">
      <c r="A55" s="69">
        <v>49</v>
      </c>
      <c r="B55" s="70" t="s">
        <v>57</v>
      </c>
      <c r="C55" s="71">
        <f t="shared" si="0"/>
        <v>757</v>
      </c>
      <c r="D55" s="71"/>
      <c r="E55" s="71">
        <f>755+2</f>
        <v>757</v>
      </c>
      <c r="F55" s="71"/>
      <c r="G55" s="71"/>
      <c r="H55" s="67"/>
    </row>
    <row r="56" spans="1:8" s="68" customFormat="1" ht="15.75" x14ac:dyDescent="0.25">
      <c r="A56" s="69">
        <v>50</v>
      </c>
      <c r="B56" s="70" t="s">
        <v>58</v>
      </c>
      <c r="C56" s="71">
        <f t="shared" si="0"/>
        <v>3064</v>
      </c>
      <c r="D56" s="71"/>
      <c r="E56" s="71">
        <f>3088-24</f>
        <v>3064</v>
      </c>
      <c r="F56" s="71"/>
      <c r="G56" s="71"/>
      <c r="H56" s="67"/>
    </row>
    <row r="57" spans="1:8" s="68" customFormat="1" ht="15.75" x14ac:dyDescent="0.25">
      <c r="A57" s="69">
        <v>51</v>
      </c>
      <c r="B57" s="70" t="s">
        <v>59</v>
      </c>
      <c r="C57" s="71">
        <f t="shared" si="0"/>
        <v>3415</v>
      </c>
      <c r="D57" s="71"/>
      <c r="E57" s="71">
        <f>3436-21</f>
        <v>3415</v>
      </c>
      <c r="F57" s="71"/>
      <c r="G57" s="71"/>
      <c r="H57" s="67"/>
    </row>
    <row r="58" spans="1:8" s="68" customFormat="1" ht="15.75" x14ac:dyDescent="0.25">
      <c r="A58" s="69">
        <v>52</v>
      </c>
      <c r="B58" s="70" t="s">
        <v>60</v>
      </c>
      <c r="C58" s="71">
        <f t="shared" si="0"/>
        <v>3461</v>
      </c>
      <c r="D58" s="71"/>
      <c r="E58" s="71">
        <f>3529-68</f>
        <v>3461</v>
      </c>
      <c r="F58" s="71"/>
      <c r="G58" s="71"/>
      <c r="H58" s="67"/>
    </row>
    <row r="59" spans="1:8" s="68" customFormat="1" ht="15.75" x14ac:dyDescent="0.25">
      <c r="A59" s="69">
        <v>53</v>
      </c>
      <c r="B59" s="70" t="s">
        <v>61</v>
      </c>
      <c r="C59" s="71">
        <f t="shared" si="0"/>
        <v>2168</v>
      </c>
      <c r="D59" s="71"/>
      <c r="E59" s="71">
        <f>2164+4</f>
        <v>2168</v>
      </c>
      <c r="F59" s="71"/>
      <c r="G59" s="71"/>
      <c r="H59" s="67"/>
    </row>
    <row r="60" spans="1:8" s="68" customFormat="1" ht="15.75" x14ac:dyDescent="0.25">
      <c r="A60" s="69">
        <v>54</v>
      </c>
      <c r="B60" s="70" t="s">
        <v>62</v>
      </c>
      <c r="C60" s="71">
        <f t="shared" si="0"/>
        <v>2894</v>
      </c>
      <c r="D60" s="71"/>
      <c r="E60" s="71">
        <f>2949-55</f>
        <v>2894</v>
      </c>
      <c r="F60" s="71"/>
      <c r="G60" s="71"/>
      <c r="H60" s="67"/>
    </row>
    <row r="61" spans="1:8" s="68" customFormat="1" ht="15.75" x14ac:dyDescent="0.25">
      <c r="A61" s="69">
        <v>55</v>
      </c>
      <c r="B61" s="70" t="s">
        <v>63</v>
      </c>
      <c r="C61" s="71">
        <f t="shared" si="0"/>
        <v>1686</v>
      </c>
      <c r="D61" s="71"/>
      <c r="E61" s="71">
        <f>1687-1</f>
        <v>1686</v>
      </c>
      <c r="F61" s="71"/>
      <c r="G61" s="71"/>
      <c r="H61" s="67"/>
    </row>
    <row r="62" spans="1:8" s="68" customFormat="1" ht="15.75" x14ac:dyDescent="0.25">
      <c r="A62" s="69">
        <v>56</v>
      </c>
      <c r="B62" s="70" t="s">
        <v>256</v>
      </c>
      <c r="C62" s="71">
        <f t="shared" si="0"/>
        <v>865</v>
      </c>
      <c r="D62" s="71">
        <f>18</f>
        <v>18</v>
      </c>
      <c r="E62" s="71">
        <f>865-18</f>
        <v>847</v>
      </c>
      <c r="F62" s="71"/>
      <c r="G62" s="71"/>
      <c r="H62" s="67"/>
    </row>
    <row r="63" spans="1:8" s="68" customFormat="1" ht="15.75" x14ac:dyDescent="0.25">
      <c r="A63" s="69">
        <v>57</v>
      </c>
      <c r="B63" s="70" t="s">
        <v>64</v>
      </c>
      <c r="C63" s="71">
        <f t="shared" si="0"/>
        <v>16022</v>
      </c>
      <c r="D63" s="71"/>
      <c r="E63" s="71">
        <f>16051-29</f>
        <v>16022</v>
      </c>
      <c r="F63" s="71"/>
      <c r="G63" s="71"/>
      <c r="H63" s="67"/>
    </row>
    <row r="64" spans="1:8" s="68" customFormat="1" ht="15.75" x14ac:dyDescent="0.25">
      <c r="A64" s="69">
        <v>58</v>
      </c>
      <c r="B64" s="70" t="s">
        <v>65</v>
      </c>
      <c r="C64" s="71">
        <f t="shared" si="0"/>
        <v>17890</v>
      </c>
      <c r="D64" s="71"/>
      <c r="E64" s="71">
        <f>17963-73</f>
        <v>17890</v>
      </c>
      <c r="F64" s="71"/>
      <c r="G64" s="71"/>
      <c r="H64" s="67"/>
    </row>
    <row r="65" spans="1:8" s="68" customFormat="1" ht="15.75" x14ac:dyDescent="0.25">
      <c r="A65" s="69">
        <v>59</v>
      </c>
      <c r="B65" s="70" t="s">
        <v>66</v>
      </c>
      <c r="C65" s="71">
        <f t="shared" si="0"/>
        <v>3164</v>
      </c>
      <c r="D65" s="71"/>
      <c r="E65" s="71">
        <f>3159+5</f>
        <v>3164</v>
      </c>
      <c r="F65" s="71"/>
      <c r="G65" s="71"/>
      <c r="H65" s="67"/>
    </row>
    <row r="66" spans="1:8" s="68" customFormat="1" ht="15.75" x14ac:dyDescent="0.25">
      <c r="A66" s="69">
        <v>60</v>
      </c>
      <c r="B66" s="70" t="s">
        <v>67</v>
      </c>
      <c r="C66" s="71">
        <f t="shared" si="0"/>
        <v>3630</v>
      </c>
      <c r="D66" s="71"/>
      <c r="E66" s="71">
        <f>3699-70+1</f>
        <v>3630</v>
      </c>
      <c r="F66" s="71"/>
      <c r="G66" s="71"/>
      <c r="H66" s="67"/>
    </row>
    <row r="67" spans="1:8" s="68" customFormat="1" ht="15.75" x14ac:dyDescent="0.25">
      <c r="A67" s="69">
        <v>61</v>
      </c>
      <c r="B67" s="70" t="s">
        <v>68</v>
      </c>
      <c r="C67" s="71">
        <f t="shared" si="0"/>
        <v>2710</v>
      </c>
      <c r="D67" s="71"/>
      <c r="E67" s="71">
        <f>2711+27-28</f>
        <v>2710</v>
      </c>
      <c r="F67" s="71"/>
      <c r="G67" s="71"/>
      <c r="H67" s="67"/>
    </row>
    <row r="68" spans="1:8" s="68" customFormat="1" ht="15.75" x14ac:dyDescent="0.25">
      <c r="A68" s="69">
        <v>62</v>
      </c>
      <c r="B68" s="70" t="s">
        <v>69</v>
      </c>
      <c r="C68" s="71">
        <f t="shared" si="0"/>
        <v>9523</v>
      </c>
      <c r="D68" s="71"/>
      <c r="E68" s="71">
        <f>9669-160+14</f>
        <v>9523</v>
      </c>
      <c r="F68" s="71"/>
      <c r="G68" s="71"/>
      <c r="H68" s="67"/>
    </row>
    <row r="69" spans="1:8" s="68" customFormat="1" ht="15.75" x14ac:dyDescent="0.25">
      <c r="A69" s="69">
        <v>63</v>
      </c>
      <c r="B69" s="70" t="s">
        <v>70</v>
      </c>
      <c r="C69" s="71">
        <f t="shared" si="0"/>
        <v>3715</v>
      </c>
      <c r="D69" s="71"/>
      <c r="E69" s="71">
        <f>3592+100+23</f>
        <v>3715</v>
      </c>
      <c r="F69" s="71">
        <v>623</v>
      </c>
      <c r="G69" s="71"/>
      <c r="H69" s="67"/>
    </row>
    <row r="70" spans="1:8" s="68" customFormat="1" ht="15.75" x14ac:dyDescent="0.25">
      <c r="A70" s="69">
        <v>64</v>
      </c>
      <c r="B70" s="70" t="s">
        <v>71</v>
      </c>
      <c r="C70" s="71">
        <f t="shared" si="0"/>
        <v>17599</v>
      </c>
      <c r="D70" s="71"/>
      <c r="E70" s="71">
        <f>17555+44</f>
        <v>17599</v>
      </c>
      <c r="F70" s="71"/>
      <c r="G70" s="71"/>
      <c r="H70" s="67"/>
    </row>
    <row r="71" spans="1:8" s="68" customFormat="1" ht="15.75" x14ac:dyDescent="0.25">
      <c r="A71" s="69">
        <v>65</v>
      </c>
      <c r="B71" s="70" t="s">
        <v>72</v>
      </c>
      <c r="C71" s="71">
        <f t="shared" si="0"/>
        <v>931</v>
      </c>
      <c r="D71" s="71"/>
      <c r="E71" s="71">
        <f>927+4</f>
        <v>931</v>
      </c>
      <c r="F71" s="71"/>
      <c r="G71" s="71"/>
      <c r="H71" s="67"/>
    </row>
    <row r="72" spans="1:8" s="68" customFormat="1" ht="15.75" x14ac:dyDescent="0.25">
      <c r="A72" s="69">
        <v>66</v>
      </c>
      <c r="B72" s="70" t="s">
        <v>73</v>
      </c>
      <c r="C72" s="71">
        <f t="shared" si="0"/>
        <v>6729</v>
      </c>
      <c r="D72" s="71">
        <v>84</v>
      </c>
      <c r="E72" s="71">
        <f>6650-5</f>
        <v>6645</v>
      </c>
      <c r="F72" s="71">
        <v>623</v>
      </c>
      <c r="G72" s="71"/>
      <c r="H72" s="67"/>
    </row>
    <row r="73" spans="1:8" s="68" customFormat="1" ht="15.75" x14ac:dyDescent="0.25">
      <c r="A73" s="69">
        <v>67</v>
      </c>
      <c r="B73" s="70" t="s">
        <v>74</v>
      </c>
      <c r="C73" s="71">
        <f t="shared" ref="C73:C108" si="1">D73+E73+G73</f>
        <v>927</v>
      </c>
      <c r="D73" s="71"/>
      <c r="E73" s="71">
        <v>927</v>
      </c>
      <c r="F73" s="71"/>
      <c r="G73" s="71"/>
      <c r="H73" s="67"/>
    </row>
    <row r="74" spans="1:8" s="68" customFormat="1" ht="15.75" x14ac:dyDescent="0.25">
      <c r="A74" s="69">
        <v>68</v>
      </c>
      <c r="B74" s="70" t="s">
        <v>75</v>
      </c>
      <c r="C74" s="71">
        <f t="shared" si="1"/>
        <v>12116</v>
      </c>
      <c r="D74" s="71">
        <f>266</f>
        <v>266</v>
      </c>
      <c r="E74" s="71">
        <f>11818+32</f>
        <v>11850</v>
      </c>
      <c r="F74" s="71"/>
      <c r="G74" s="71"/>
      <c r="H74" s="67"/>
    </row>
    <row r="75" spans="1:8" s="68" customFormat="1" ht="15.75" x14ac:dyDescent="0.25">
      <c r="A75" s="69">
        <v>69</v>
      </c>
      <c r="B75" s="70" t="s">
        <v>76</v>
      </c>
      <c r="C75" s="71">
        <f>D75+E75+G75</f>
        <v>14332</v>
      </c>
      <c r="D75" s="71">
        <f>346+60+13-2</f>
        <v>417</v>
      </c>
      <c r="E75" s="71">
        <f>13789-60+50-13+50-10+109</f>
        <v>13915</v>
      </c>
      <c r="F75" s="71">
        <f>208+37+50+201+254-10</f>
        <v>740</v>
      </c>
      <c r="G75" s="71"/>
      <c r="H75" s="67"/>
    </row>
    <row r="76" spans="1:8" s="68" customFormat="1" ht="15.75" x14ac:dyDescent="0.25">
      <c r="A76" s="69">
        <v>70</v>
      </c>
      <c r="B76" s="70" t="s">
        <v>77</v>
      </c>
      <c r="C76" s="71">
        <f t="shared" si="1"/>
        <v>13733</v>
      </c>
      <c r="D76" s="71">
        <f>480+30</f>
        <v>510</v>
      </c>
      <c r="E76" s="71">
        <f>13206-30+47</f>
        <v>13223</v>
      </c>
      <c r="F76" s="71">
        <v>1246</v>
      </c>
      <c r="G76" s="71"/>
      <c r="H76" s="67"/>
    </row>
    <row r="77" spans="1:8" s="68" customFormat="1" ht="15.75" x14ac:dyDescent="0.25">
      <c r="A77" s="69">
        <v>71</v>
      </c>
      <c r="B77" s="70" t="s">
        <v>78</v>
      </c>
      <c r="C77" s="71">
        <f t="shared" si="1"/>
        <v>9337</v>
      </c>
      <c r="D77" s="71">
        <v>140</v>
      </c>
      <c r="E77" s="71">
        <f>9162+35</f>
        <v>9197</v>
      </c>
      <c r="F77" s="71"/>
      <c r="G77" s="71"/>
      <c r="H77" s="67"/>
    </row>
    <row r="78" spans="1:8" s="68" customFormat="1" ht="15.75" x14ac:dyDescent="0.25">
      <c r="A78" s="69">
        <v>72</v>
      </c>
      <c r="B78" s="70" t="s">
        <v>79</v>
      </c>
      <c r="C78" s="71">
        <f t="shared" si="1"/>
        <v>5411</v>
      </c>
      <c r="D78" s="71"/>
      <c r="E78" s="71">
        <f>5425-14</f>
        <v>5411</v>
      </c>
      <c r="F78" s="71"/>
      <c r="G78" s="71"/>
      <c r="H78" s="67"/>
    </row>
    <row r="79" spans="1:8" s="68" customFormat="1" ht="15.75" x14ac:dyDescent="0.25">
      <c r="A79" s="69">
        <v>73</v>
      </c>
      <c r="B79" s="70" t="s">
        <v>80</v>
      </c>
      <c r="C79" s="71">
        <f t="shared" si="1"/>
        <v>2005</v>
      </c>
      <c r="D79" s="71"/>
      <c r="E79" s="71">
        <f>2001+4</f>
        <v>2005</v>
      </c>
      <c r="F79" s="71"/>
      <c r="G79" s="71"/>
      <c r="H79" s="67"/>
    </row>
    <row r="80" spans="1:8" s="68" customFormat="1" ht="15.75" x14ac:dyDescent="0.25">
      <c r="A80" s="69">
        <v>74</v>
      </c>
      <c r="B80" s="70" t="s">
        <v>81</v>
      </c>
      <c r="C80" s="71">
        <f t="shared" si="1"/>
        <v>3753</v>
      </c>
      <c r="D80" s="71"/>
      <c r="E80" s="71">
        <f>3741+12</f>
        <v>3753</v>
      </c>
      <c r="F80" s="71"/>
      <c r="G80" s="71"/>
      <c r="H80" s="67"/>
    </row>
    <row r="81" spans="1:8" s="68" customFormat="1" ht="15.75" x14ac:dyDescent="0.25">
      <c r="A81" s="69">
        <v>75</v>
      </c>
      <c r="B81" s="70" t="s">
        <v>82</v>
      </c>
      <c r="C81" s="71">
        <f t="shared" si="1"/>
        <v>3367</v>
      </c>
      <c r="D81" s="71"/>
      <c r="E81" s="71">
        <f>3366+1</f>
        <v>3367</v>
      </c>
      <c r="F81" s="71"/>
      <c r="G81" s="71"/>
      <c r="H81" s="67"/>
    </row>
    <row r="82" spans="1:8" s="68" customFormat="1" ht="15.75" x14ac:dyDescent="0.25">
      <c r="A82" s="69">
        <v>76</v>
      </c>
      <c r="B82" s="70" t="s">
        <v>83</v>
      </c>
      <c r="C82" s="71">
        <f t="shared" si="1"/>
        <v>4766</v>
      </c>
      <c r="D82" s="71"/>
      <c r="E82" s="71">
        <v>4766</v>
      </c>
      <c r="F82" s="71"/>
      <c r="G82" s="71"/>
      <c r="H82" s="67"/>
    </row>
    <row r="83" spans="1:8" s="68" customFormat="1" ht="15.75" x14ac:dyDescent="0.25">
      <c r="A83" s="69">
        <v>77</v>
      </c>
      <c r="B83" s="70" t="s">
        <v>84</v>
      </c>
      <c r="C83" s="71">
        <f t="shared" si="1"/>
        <v>2594</v>
      </c>
      <c r="D83" s="71"/>
      <c r="E83" s="71">
        <f>2584+10</f>
        <v>2594</v>
      </c>
      <c r="F83" s="71"/>
      <c r="G83" s="71"/>
      <c r="H83" s="67"/>
    </row>
    <row r="84" spans="1:8" s="68" customFormat="1" ht="15.75" x14ac:dyDescent="0.25">
      <c r="A84" s="69">
        <v>78</v>
      </c>
      <c r="B84" s="70" t="s">
        <v>85</v>
      </c>
      <c r="C84" s="71">
        <f t="shared" si="1"/>
        <v>2107</v>
      </c>
      <c r="D84" s="71"/>
      <c r="E84" s="71">
        <f>2103+4</f>
        <v>2107</v>
      </c>
      <c r="F84" s="71"/>
      <c r="G84" s="71"/>
      <c r="H84" s="67"/>
    </row>
    <row r="85" spans="1:8" s="68" customFormat="1" ht="15.75" x14ac:dyDescent="0.25">
      <c r="A85" s="69">
        <v>79</v>
      </c>
      <c r="B85" s="70" t="s">
        <v>86</v>
      </c>
      <c r="C85" s="71">
        <f t="shared" si="1"/>
        <v>3034</v>
      </c>
      <c r="D85" s="71"/>
      <c r="E85" s="71">
        <f>3033+1</f>
        <v>3034</v>
      </c>
      <c r="F85" s="71"/>
      <c r="G85" s="71"/>
      <c r="H85" s="67"/>
    </row>
    <row r="86" spans="1:8" s="68" customFormat="1" ht="15.75" x14ac:dyDescent="0.25">
      <c r="A86" s="69">
        <v>80</v>
      </c>
      <c r="B86" s="70" t="s">
        <v>87</v>
      </c>
      <c r="C86" s="71">
        <f t="shared" si="1"/>
        <v>4423</v>
      </c>
      <c r="D86" s="71"/>
      <c r="E86" s="71">
        <f>4426-3</f>
        <v>4423</v>
      </c>
      <c r="F86" s="71"/>
      <c r="G86" s="71"/>
      <c r="H86" s="67"/>
    </row>
    <row r="87" spans="1:8" s="68" customFormat="1" ht="15.75" x14ac:dyDescent="0.25">
      <c r="A87" s="69">
        <v>81</v>
      </c>
      <c r="B87" s="70" t="s">
        <v>88</v>
      </c>
      <c r="C87" s="71">
        <f t="shared" si="1"/>
        <v>2252</v>
      </c>
      <c r="D87" s="71"/>
      <c r="E87" s="71">
        <f>2244+8</f>
        <v>2252</v>
      </c>
      <c r="F87" s="71"/>
      <c r="G87" s="71"/>
      <c r="H87" s="67"/>
    </row>
    <row r="88" spans="1:8" s="68" customFormat="1" ht="43.5" customHeight="1" x14ac:dyDescent="0.25">
      <c r="A88" s="69">
        <v>82</v>
      </c>
      <c r="B88" s="72" t="s">
        <v>89</v>
      </c>
      <c r="C88" s="71">
        <f t="shared" si="1"/>
        <v>7621</v>
      </c>
      <c r="D88" s="71"/>
      <c r="E88" s="71">
        <f>7611+10</f>
        <v>7621</v>
      </c>
      <c r="F88" s="71"/>
      <c r="G88" s="71"/>
      <c r="H88" s="67"/>
    </row>
    <row r="89" spans="1:8" s="68" customFormat="1" ht="15.75" x14ac:dyDescent="0.25">
      <c r="A89" s="69">
        <v>83</v>
      </c>
      <c r="B89" s="70" t="s">
        <v>8</v>
      </c>
      <c r="C89" s="71">
        <f t="shared" si="1"/>
        <v>21567</v>
      </c>
      <c r="D89" s="71">
        <f>1390+6</f>
        <v>1396</v>
      </c>
      <c r="E89" s="71">
        <f>20130+5+36</f>
        <v>20171</v>
      </c>
      <c r="F89" s="71">
        <f>623+5</f>
        <v>628</v>
      </c>
      <c r="G89" s="71"/>
      <c r="H89" s="67"/>
    </row>
    <row r="90" spans="1:8" s="68" customFormat="1" ht="15.75" x14ac:dyDescent="0.25">
      <c r="A90" s="69">
        <v>84</v>
      </c>
      <c r="B90" s="73" t="s">
        <v>90</v>
      </c>
      <c r="C90" s="71">
        <f t="shared" si="1"/>
        <v>2483</v>
      </c>
      <c r="D90" s="71"/>
      <c r="E90" s="71">
        <f>2865-200-49-133</f>
        <v>2483</v>
      </c>
      <c r="F90" s="71"/>
      <c r="G90" s="71"/>
      <c r="H90" s="67"/>
    </row>
    <row r="91" spans="1:8" s="68" customFormat="1" ht="15.75" x14ac:dyDescent="0.25">
      <c r="A91" s="69">
        <v>85</v>
      </c>
      <c r="B91" s="70" t="s">
        <v>257</v>
      </c>
      <c r="C91" s="71">
        <f t="shared" si="1"/>
        <v>308</v>
      </c>
      <c r="D91" s="71">
        <v>240</v>
      </c>
      <c r="E91" s="71">
        <f>34+34</f>
        <v>68</v>
      </c>
      <c r="F91" s="71"/>
      <c r="G91" s="71"/>
      <c r="H91" s="67"/>
    </row>
    <row r="92" spans="1:8" s="68" customFormat="1" ht="15.75" x14ac:dyDescent="0.25">
      <c r="A92" s="69">
        <v>86</v>
      </c>
      <c r="B92" s="70" t="s">
        <v>258</v>
      </c>
      <c r="C92" s="71">
        <f t="shared" si="1"/>
        <v>0</v>
      </c>
      <c r="D92" s="71"/>
      <c r="E92" s="71">
        <f>34-34</f>
        <v>0</v>
      </c>
      <c r="F92" s="71"/>
      <c r="G92" s="71"/>
      <c r="H92" s="67"/>
    </row>
    <row r="93" spans="1:8" s="68" customFormat="1" ht="15.75" x14ac:dyDescent="0.25">
      <c r="A93" s="69">
        <v>87</v>
      </c>
      <c r="B93" s="70" t="s">
        <v>259</v>
      </c>
      <c r="C93" s="71">
        <f t="shared" si="1"/>
        <v>34</v>
      </c>
      <c r="D93" s="71"/>
      <c r="E93" s="71">
        <v>34</v>
      </c>
      <c r="F93" s="71"/>
      <c r="G93" s="71"/>
      <c r="H93" s="67"/>
    </row>
    <row r="94" spans="1:8" s="68" customFormat="1" ht="15.75" x14ac:dyDescent="0.25">
      <c r="A94" s="69">
        <v>88</v>
      </c>
      <c r="B94" s="74" t="s">
        <v>260</v>
      </c>
      <c r="C94" s="71">
        <f t="shared" si="1"/>
        <v>27857</v>
      </c>
      <c r="D94" s="71">
        <f>2477+6+24+19</f>
        <v>2526</v>
      </c>
      <c r="E94" s="71">
        <f>24846-6+350-24-19+107-4+81</f>
        <v>25331</v>
      </c>
      <c r="F94" s="71">
        <f>831-4</f>
        <v>827</v>
      </c>
      <c r="G94" s="71"/>
      <c r="H94" s="67"/>
    </row>
    <row r="95" spans="1:8" s="68" customFormat="1" ht="15.75" x14ac:dyDescent="0.25">
      <c r="A95" s="69">
        <v>89</v>
      </c>
      <c r="B95" s="74" t="s">
        <v>91</v>
      </c>
      <c r="C95" s="71">
        <f t="shared" si="1"/>
        <v>12806</v>
      </c>
      <c r="D95" s="71">
        <v>1020</v>
      </c>
      <c r="E95" s="71">
        <f>11406+380</f>
        <v>11786</v>
      </c>
      <c r="F95" s="71"/>
      <c r="G95" s="71"/>
      <c r="H95" s="67"/>
    </row>
    <row r="96" spans="1:8" s="68" customFormat="1" ht="15.75" x14ac:dyDescent="0.25">
      <c r="A96" s="69">
        <v>90</v>
      </c>
      <c r="B96" s="75" t="s">
        <v>3</v>
      </c>
      <c r="C96" s="71">
        <f t="shared" si="1"/>
        <v>11968</v>
      </c>
      <c r="D96" s="71">
        <v>2960</v>
      </c>
      <c r="E96" s="71">
        <f>8626+300+50+32</f>
        <v>9008</v>
      </c>
      <c r="F96" s="71">
        <v>624</v>
      </c>
      <c r="G96" s="71"/>
      <c r="H96" s="67"/>
    </row>
    <row r="97" spans="1:8" s="68" customFormat="1" ht="31.5" x14ac:dyDescent="0.25">
      <c r="A97" s="69">
        <v>91</v>
      </c>
      <c r="B97" s="76" t="s">
        <v>261</v>
      </c>
      <c r="C97" s="71">
        <f t="shared" si="1"/>
        <v>792</v>
      </c>
      <c r="D97" s="71"/>
      <c r="E97" s="71">
        <v>792</v>
      </c>
      <c r="F97" s="71"/>
      <c r="G97" s="71"/>
      <c r="H97" s="67"/>
    </row>
    <row r="98" spans="1:8" s="68" customFormat="1" ht="15.75" x14ac:dyDescent="0.25">
      <c r="A98" s="69">
        <v>92</v>
      </c>
      <c r="B98" s="75" t="s">
        <v>92</v>
      </c>
      <c r="C98" s="71">
        <f t="shared" si="1"/>
        <v>12387</v>
      </c>
      <c r="D98" s="71">
        <f>2660-2</f>
        <v>2658</v>
      </c>
      <c r="E98" s="71">
        <f>9740-11</f>
        <v>9729</v>
      </c>
      <c r="F98" s="71"/>
      <c r="G98" s="71"/>
      <c r="H98" s="67"/>
    </row>
    <row r="99" spans="1:8" s="68" customFormat="1" ht="15.75" x14ac:dyDescent="0.25">
      <c r="A99" s="69">
        <v>93</v>
      </c>
      <c r="B99" s="75" t="s">
        <v>93</v>
      </c>
      <c r="C99" s="71">
        <f t="shared" si="1"/>
        <v>5384</v>
      </c>
      <c r="D99" s="71">
        <v>52</v>
      </c>
      <c r="E99" s="71">
        <f>5314+18</f>
        <v>5332</v>
      </c>
      <c r="F99" s="71"/>
      <c r="G99" s="71"/>
      <c r="H99" s="67"/>
    </row>
    <row r="100" spans="1:8" s="68" customFormat="1" ht="15.75" x14ac:dyDescent="0.25">
      <c r="A100" s="69">
        <v>94</v>
      </c>
      <c r="B100" s="75" t="s">
        <v>262</v>
      </c>
      <c r="C100" s="71">
        <f>D100+E100+G100</f>
        <v>17840</v>
      </c>
      <c r="D100" s="71">
        <f>925-9</f>
        <v>916</v>
      </c>
      <c r="E100" s="71">
        <f>17519-8-587</f>
        <v>16924</v>
      </c>
      <c r="F100" s="71">
        <f>283-8</f>
        <v>275</v>
      </c>
      <c r="G100" s="71"/>
      <c r="H100" s="67"/>
    </row>
    <row r="101" spans="1:8" s="68" customFormat="1" ht="15.75" x14ac:dyDescent="0.25">
      <c r="A101" s="69">
        <v>95</v>
      </c>
      <c r="B101" s="75" t="s">
        <v>6</v>
      </c>
      <c r="C101" s="71">
        <f t="shared" si="1"/>
        <v>22283</v>
      </c>
      <c r="D101" s="71">
        <f>660-65-6</f>
        <v>589</v>
      </c>
      <c r="E101" s="71">
        <f>22228+65-200-399</f>
        <v>21694</v>
      </c>
      <c r="F101" s="71"/>
      <c r="G101" s="71"/>
      <c r="H101" s="67"/>
    </row>
    <row r="102" spans="1:8" s="68" customFormat="1" ht="15.75" x14ac:dyDescent="0.25">
      <c r="A102" s="69">
        <v>96</v>
      </c>
      <c r="B102" s="77" t="s">
        <v>2</v>
      </c>
      <c r="C102" s="71">
        <f t="shared" si="1"/>
        <v>5592</v>
      </c>
      <c r="D102" s="71">
        <v>216</v>
      </c>
      <c r="E102" s="71">
        <f>5359+17</f>
        <v>5376</v>
      </c>
      <c r="F102" s="71">
        <f>1350+106</f>
        <v>1456</v>
      </c>
      <c r="G102" s="71"/>
      <c r="H102" s="67"/>
    </row>
    <row r="103" spans="1:8" s="68" customFormat="1" ht="15.75" x14ac:dyDescent="0.25">
      <c r="A103" s="69">
        <v>97</v>
      </c>
      <c r="B103" s="77" t="s">
        <v>0</v>
      </c>
      <c r="C103" s="71">
        <f t="shared" si="1"/>
        <v>24551</v>
      </c>
      <c r="D103" s="71">
        <f>1080+25-26-8</f>
        <v>1071</v>
      </c>
      <c r="E103" s="71">
        <f>23526+50-25+26-121+24</f>
        <v>23480</v>
      </c>
      <c r="F103" s="71">
        <f>1246-121</f>
        <v>1125</v>
      </c>
      <c r="G103" s="71"/>
      <c r="H103" s="67"/>
    </row>
    <row r="104" spans="1:8" s="68" customFormat="1" ht="15.75" x14ac:dyDescent="0.25">
      <c r="A104" s="69">
        <v>98</v>
      </c>
      <c r="B104" s="77" t="s">
        <v>263</v>
      </c>
      <c r="C104" s="71">
        <f t="shared" si="1"/>
        <v>22449</v>
      </c>
      <c r="D104" s="71">
        <f>1168+18+9+3</f>
        <v>1198</v>
      </c>
      <c r="E104" s="71">
        <f>21212-18-9-3-1+70</f>
        <v>21251</v>
      </c>
      <c r="F104" s="71">
        <f>727-1</f>
        <v>726</v>
      </c>
      <c r="G104" s="71"/>
      <c r="H104" s="67"/>
    </row>
    <row r="105" spans="1:8" s="68" customFormat="1" ht="36.75" x14ac:dyDescent="0.25">
      <c r="A105" s="69">
        <v>99</v>
      </c>
      <c r="B105" s="11" t="s">
        <v>264</v>
      </c>
      <c r="C105" s="71">
        <f t="shared" si="1"/>
        <v>2270</v>
      </c>
      <c r="D105" s="71"/>
      <c r="E105" s="71">
        <f>2258+12</f>
        <v>2270</v>
      </c>
      <c r="F105" s="71"/>
      <c r="G105" s="71"/>
      <c r="H105" s="67"/>
    </row>
    <row r="106" spans="1:8" s="68" customFormat="1" ht="15.75" x14ac:dyDescent="0.25">
      <c r="A106" s="69">
        <v>100</v>
      </c>
      <c r="B106" s="77" t="s">
        <v>94</v>
      </c>
      <c r="C106" s="71">
        <f t="shared" si="1"/>
        <v>15865</v>
      </c>
      <c r="D106" s="71"/>
      <c r="E106" s="71">
        <f>15841+24</f>
        <v>15865</v>
      </c>
      <c r="F106" s="71"/>
      <c r="G106" s="71"/>
      <c r="H106" s="67"/>
    </row>
    <row r="107" spans="1:8" s="68" customFormat="1" ht="15.75" x14ac:dyDescent="0.25">
      <c r="A107" s="69">
        <v>101</v>
      </c>
      <c r="B107" s="75" t="s">
        <v>95</v>
      </c>
      <c r="C107" s="71">
        <f t="shared" si="1"/>
        <v>1010</v>
      </c>
      <c r="D107" s="71">
        <v>200</v>
      </c>
      <c r="E107" s="71">
        <v>810</v>
      </c>
      <c r="F107" s="71"/>
      <c r="G107" s="71"/>
      <c r="H107" s="67"/>
    </row>
    <row r="108" spans="1:8" s="68" customFormat="1" ht="15.75" x14ac:dyDescent="0.25">
      <c r="A108" s="69"/>
      <c r="B108" s="78" t="s">
        <v>96</v>
      </c>
      <c r="C108" s="71">
        <f t="shared" si="1"/>
        <v>17590</v>
      </c>
      <c r="D108" s="71"/>
      <c r="E108" s="71">
        <f>15258+57+2275</f>
        <v>17590</v>
      </c>
      <c r="F108" s="71"/>
      <c r="G108" s="71"/>
      <c r="H108" s="67"/>
    </row>
    <row r="109" spans="1:8" s="68" customFormat="1" ht="15.75" x14ac:dyDescent="0.25">
      <c r="A109" s="79"/>
      <c r="B109" s="80" t="s">
        <v>4</v>
      </c>
      <c r="C109" s="81">
        <f>SUM(C7:C108)</f>
        <v>699707</v>
      </c>
      <c r="D109" s="81">
        <f>SUM(D7:D108)</f>
        <v>17267</v>
      </c>
      <c r="E109" s="81">
        <f>SUM(E7:E108)</f>
        <v>682440</v>
      </c>
      <c r="F109" s="81">
        <f>SUM(F7:F108)</f>
        <v>8893</v>
      </c>
      <c r="G109" s="81">
        <f>SUM(G7:G108)</f>
        <v>0</v>
      </c>
      <c r="H109" s="67"/>
    </row>
    <row r="111" spans="1:8" x14ac:dyDescent="0.25">
      <c r="C111" s="56"/>
    </row>
  </sheetData>
  <mergeCells count="9">
    <mergeCell ref="A1:G1"/>
    <mergeCell ref="E2:G2"/>
    <mergeCell ref="A3:A5"/>
    <mergeCell ref="B3:B5"/>
    <mergeCell ref="C3:C5"/>
    <mergeCell ref="D3:G3"/>
    <mergeCell ref="D4:D5"/>
    <mergeCell ref="E4:E5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workbookViewId="0">
      <pane xSplit="1" ySplit="2" topLeftCell="B66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26.5703125" style="93" customWidth="1"/>
    <col min="2" max="2" width="8.85546875" style="26" customWidth="1"/>
    <col min="3" max="23" width="9.140625" style="26" customWidth="1"/>
    <col min="24" max="24" width="8.5703125" style="26" customWidth="1"/>
    <col min="25" max="16384" width="9.140625" style="26"/>
  </cols>
  <sheetData>
    <row r="1" spans="1:24" ht="42" customHeight="1" x14ac:dyDescent="0.25">
      <c r="A1" s="164" t="s">
        <v>265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ht="111.75" customHeight="1" x14ac:dyDescent="0.25">
      <c r="A2" s="82" t="s">
        <v>266</v>
      </c>
      <c r="B2" s="83" t="s">
        <v>0</v>
      </c>
      <c r="C2" s="83" t="s">
        <v>267</v>
      </c>
      <c r="D2" s="83" t="s">
        <v>268</v>
      </c>
      <c r="E2" s="83" t="s">
        <v>269</v>
      </c>
      <c r="F2" s="83" t="s">
        <v>270</v>
      </c>
      <c r="G2" s="83" t="s">
        <v>271</v>
      </c>
      <c r="H2" s="83" t="s">
        <v>272</v>
      </c>
      <c r="I2" s="83" t="s">
        <v>273</v>
      </c>
      <c r="J2" s="83" t="s">
        <v>274</v>
      </c>
      <c r="K2" s="83" t="s">
        <v>275</v>
      </c>
      <c r="L2" s="83" t="s">
        <v>1</v>
      </c>
      <c r="M2" s="83" t="s">
        <v>6</v>
      </c>
      <c r="N2" s="83" t="s">
        <v>276</v>
      </c>
      <c r="O2" s="83" t="s">
        <v>257</v>
      </c>
      <c r="P2" s="83" t="s">
        <v>277</v>
      </c>
      <c r="Q2" s="83" t="s">
        <v>260</v>
      </c>
      <c r="R2" s="83" t="s">
        <v>2</v>
      </c>
      <c r="S2" s="83" t="s">
        <v>7</v>
      </c>
      <c r="T2" s="83" t="s">
        <v>3</v>
      </c>
      <c r="U2" s="83" t="s">
        <v>278</v>
      </c>
      <c r="V2" s="83" t="s">
        <v>8</v>
      </c>
      <c r="W2" s="83" t="s">
        <v>9</v>
      </c>
      <c r="X2" s="83" t="s">
        <v>4</v>
      </c>
    </row>
    <row r="3" spans="1:24" x14ac:dyDescent="0.25">
      <c r="A3" s="84" t="s">
        <v>279</v>
      </c>
      <c r="B3" s="85">
        <f>B4+B5</f>
        <v>0</v>
      </c>
      <c r="C3" s="85">
        <f t="shared" ref="C3:X3" si="0">C4+C5</f>
        <v>0</v>
      </c>
      <c r="D3" s="85">
        <f t="shared" si="0"/>
        <v>0</v>
      </c>
      <c r="E3" s="85">
        <f t="shared" si="0"/>
        <v>0</v>
      </c>
      <c r="F3" s="85">
        <f t="shared" si="0"/>
        <v>0</v>
      </c>
      <c r="G3" s="85">
        <f t="shared" si="0"/>
        <v>0</v>
      </c>
      <c r="H3" s="85">
        <f t="shared" si="0"/>
        <v>0</v>
      </c>
      <c r="I3" s="85">
        <f t="shared" si="0"/>
        <v>0</v>
      </c>
      <c r="J3" s="85">
        <f t="shared" si="0"/>
        <v>58</v>
      </c>
      <c r="K3" s="85">
        <f t="shared" si="0"/>
        <v>0</v>
      </c>
      <c r="L3" s="85">
        <f t="shared" si="0"/>
        <v>0</v>
      </c>
      <c r="M3" s="85">
        <f t="shared" si="0"/>
        <v>0</v>
      </c>
      <c r="N3" s="85">
        <f t="shared" si="0"/>
        <v>0</v>
      </c>
      <c r="O3" s="85">
        <f t="shared" si="0"/>
        <v>20</v>
      </c>
      <c r="P3" s="85">
        <f t="shared" si="0"/>
        <v>0</v>
      </c>
      <c r="Q3" s="85">
        <f t="shared" si="0"/>
        <v>100</v>
      </c>
      <c r="R3" s="85">
        <f t="shared" si="0"/>
        <v>0</v>
      </c>
      <c r="S3" s="85">
        <f t="shared" si="0"/>
        <v>0</v>
      </c>
      <c r="T3" s="85">
        <f t="shared" si="0"/>
        <v>0</v>
      </c>
      <c r="U3" s="85">
        <f t="shared" si="0"/>
        <v>0</v>
      </c>
      <c r="V3" s="85">
        <f t="shared" si="0"/>
        <v>40</v>
      </c>
      <c r="W3" s="85">
        <f t="shared" si="0"/>
        <v>0</v>
      </c>
      <c r="X3" s="85">
        <f t="shared" si="0"/>
        <v>218</v>
      </c>
    </row>
    <row r="4" spans="1:24" x14ac:dyDescent="0.25">
      <c r="A4" s="86">
        <v>1</v>
      </c>
      <c r="B4" s="87"/>
      <c r="C4" s="87"/>
      <c r="D4" s="88"/>
      <c r="E4" s="87"/>
      <c r="F4" s="87"/>
      <c r="G4" s="87"/>
      <c r="H4" s="87"/>
      <c r="I4" s="87"/>
      <c r="J4" s="87">
        <v>58</v>
      </c>
      <c r="K4" s="87"/>
      <c r="L4" s="87"/>
      <c r="M4" s="87"/>
      <c r="N4" s="87"/>
      <c r="O4" s="87">
        <v>18</v>
      </c>
      <c r="P4" s="87"/>
      <c r="Q4" s="87">
        <v>100</v>
      </c>
      <c r="R4" s="87"/>
      <c r="S4" s="87"/>
      <c r="T4" s="87"/>
      <c r="U4" s="87"/>
      <c r="V4" s="87">
        <v>25</v>
      </c>
      <c r="W4" s="87"/>
      <c r="X4" s="85">
        <f>B4+C4+D4+E4+F4+G4+H4+I4+J4+K4+L4+M4+N4+O4+P4+Q4+R4+S4+T4+U4+V4+W4</f>
        <v>201</v>
      </c>
    </row>
    <row r="5" spans="1:24" x14ac:dyDescent="0.25">
      <c r="A5" s="89">
        <v>2</v>
      </c>
      <c r="B5" s="87"/>
      <c r="C5" s="87"/>
      <c r="D5" s="88"/>
      <c r="E5" s="87"/>
      <c r="F5" s="87"/>
      <c r="G5" s="87"/>
      <c r="H5" s="87"/>
      <c r="I5" s="87"/>
      <c r="J5" s="87"/>
      <c r="K5" s="87"/>
      <c r="L5" s="87"/>
      <c r="M5" s="87"/>
      <c r="N5" s="87"/>
      <c r="O5" s="87">
        <v>2</v>
      </c>
      <c r="P5" s="87"/>
      <c r="Q5" s="87"/>
      <c r="R5" s="87"/>
      <c r="S5" s="87"/>
      <c r="T5" s="87"/>
      <c r="U5" s="87"/>
      <c r="V5" s="87">
        <v>15</v>
      </c>
      <c r="W5" s="87"/>
      <c r="X5" s="85">
        <f>B5+C5+D5+E5+F5+G5+H5+I5+J5+K5+L5+M5+N5+O5+P5+Q5+R5+S5+T5+U5+V5+W5</f>
        <v>17</v>
      </c>
    </row>
    <row r="6" spans="1:24" x14ac:dyDescent="0.25">
      <c r="A6" s="84" t="s">
        <v>280</v>
      </c>
      <c r="B6" s="85">
        <f>B7+B8</f>
        <v>0</v>
      </c>
      <c r="C6" s="85">
        <f t="shared" ref="C6:W6" si="1">C7+C8</f>
        <v>0</v>
      </c>
      <c r="D6" s="85">
        <f t="shared" si="1"/>
        <v>0</v>
      </c>
      <c r="E6" s="85">
        <f t="shared" si="1"/>
        <v>100</v>
      </c>
      <c r="F6" s="85">
        <f t="shared" si="1"/>
        <v>0</v>
      </c>
      <c r="G6" s="85">
        <f t="shared" si="1"/>
        <v>0</v>
      </c>
      <c r="H6" s="85">
        <f t="shared" si="1"/>
        <v>0</v>
      </c>
      <c r="I6" s="85">
        <f t="shared" si="1"/>
        <v>180</v>
      </c>
      <c r="J6" s="85">
        <f t="shared" si="1"/>
        <v>50</v>
      </c>
      <c r="K6" s="85">
        <f t="shared" si="1"/>
        <v>0</v>
      </c>
      <c r="L6" s="85">
        <f t="shared" si="1"/>
        <v>0</v>
      </c>
      <c r="M6" s="85">
        <f t="shared" si="1"/>
        <v>188</v>
      </c>
      <c r="N6" s="85">
        <f t="shared" si="1"/>
        <v>0</v>
      </c>
      <c r="O6" s="85">
        <f t="shared" si="1"/>
        <v>179</v>
      </c>
      <c r="P6" s="85">
        <f t="shared" si="1"/>
        <v>0</v>
      </c>
      <c r="Q6" s="85">
        <f t="shared" si="1"/>
        <v>419</v>
      </c>
      <c r="R6" s="85">
        <f t="shared" si="1"/>
        <v>0</v>
      </c>
      <c r="S6" s="85">
        <f t="shared" si="1"/>
        <v>0</v>
      </c>
      <c r="T6" s="85">
        <f t="shared" si="1"/>
        <v>0</v>
      </c>
      <c r="U6" s="85">
        <f t="shared" si="1"/>
        <v>10</v>
      </c>
      <c r="V6" s="85">
        <f t="shared" si="1"/>
        <v>302</v>
      </c>
      <c r="W6" s="85">
        <f t="shared" si="1"/>
        <v>0</v>
      </c>
      <c r="X6" s="85">
        <f t="shared" ref="X6:X69" si="2">B6+C6+D6+E6+F6+G6+H6+I6+J6+K6+L6+M6+N6+O6+P6+Q6+R6+S6+T6+U6+V6+W6</f>
        <v>1428</v>
      </c>
    </row>
    <row r="7" spans="1:24" x14ac:dyDescent="0.25">
      <c r="A7" s="89">
        <v>3</v>
      </c>
      <c r="B7" s="87"/>
      <c r="C7" s="87"/>
      <c r="D7" s="87"/>
      <c r="E7" s="87">
        <v>100</v>
      </c>
      <c r="F7" s="87"/>
      <c r="G7" s="87">
        <v>0</v>
      </c>
      <c r="H7" s="87"/>
      <c r="I7" s="87">
        <v>120</v>
      </c>
      <c r="J7" s="87">
        <v>28</v>
      </c>
      <c r="K7" s="87"/>
      <c r="L7" s="87"/>
      <c r="M7" s="87">
        <v>91</v>
      </c>
      <c r="N7" s="87"/>
      <c r="O7" s="87">
        <v>149</v>
      </c>
      <c r="P7" s="87"/>
      <c r="Q7" s="87">
        <v>260</v>
      </c>
      <c r="R7" s="87"/>
      <c r="S7" s="87"/>
      <c r="T7" s="87"/>
      <c r="U7" s="87"/>
      <c r="V7" s="87">
        <f>300+2</f>
        <v>302</v>
      </c>
      <c r="W7" s="87"/>
      <c r="X7" s="85">
        <f t="shared" si="2"/>
        <v>1050</v>
      </c>
    </row>
    <row r="8" spans="1:24" x14ac:dyDescent="0.25">
      <c r="A8" s="89">
        <v>4</v>
      </c>
      <c r="B8" s="87"/>
      <c r="C8" s="87"/>
      <c r="D8" s="88"/>
      <c r="E8" s="87"/>
      <c r="F8" s="87"/>
      <c r="G8" s="87">
        <v>0</v>
      </c>
      <c r="H8" s="87"/>
      <c r="I8" s="87">
        <v>60</v>
      </c>
      <c r="J8" s="87">
        <v>22</v>
      </c>
      <c r="K8" s="87"/>
      <c r="L8" s="87"/>
      <c r="M8" s="87">
        <f>103-6</f>
        <v>97</v>
      </c>
      <c r="N8" s="87"/>
      <c r="O8" s="87">
        <v>30</v>
      </c>
      <c r="P8" s="87"/>
      <c r="Q8" s="87">
        <v>159</v>
      </c>
      <c r="R8" s="87"/>
      <c r="S8" s="87"/>
      <c r="T8" s="87"/>
      <c r="U8" s="87">
        <v>10</v>
      </c>
      <c r="V8" s="87"/>
      <c r="W8" s="87"/>
      <c r="X8" s="85">
        <f t="shared" si="2"/>
        <v>378</v>
      </c>
    </row>
    <row r="9" spans="1:24" x14ac:dyDescent="0.25">
      <c r="A9" s="84" t="s">
        <v>281</v>
      </c>
      <c r="B9" s="85">
        <f>B10</f>
        <v>0</v>
      </c>
      <c r="C9" s="85">
        <f t="shared" ref="C9:W9" si="3">C10</f>
        <v>0</v>
      </c>
      <c r="D9" s="85">
        <f t="shared" si="3"/>
        <v>0</v>
      </c>
      <c r="E9" s="85">
        <f t="shared" si="3"/>
        <v>0</v>
      </c>
      <c r="F9" s="85">
        <f t="shared" si="3"/>
        <v>0</v>
      </c>
      <c r="G9" s="85">
        <f t="shared" si="3"/>
        <v>0</v>
      </c>
      <c r="H9" s="85">
        <f t="shared" si="3"/>
        <v>0</v>
      </c>
      <c r="I9" s="85">
        <f t="shared" si="3"/>
        <v>0</v>
      </c>
      <c r="J9" s="85">
        <f t="shared" si="3"/>
        <v>36</v>
      </c>
      <c r="K9" s="85">
        <f t="shared" si="3"/>
        <v>0</v>
      </c>
      <c r="L9" s="85">
        <f t="shared" si="3"/>
        <v>0</v>
      </c>
      <c r="M9" s="85">
        <f t="shared" si="3"/>
        <v>0</v>
      </c>
      <c r="N9" s="85">
        <f t="shared" si="3"/>
        <v>0</v>
      </c>
      <c r="O9" s="85">
        <f t="shared" si="3"/>
        <v>0</v>
      </c>
      <c r="P9" s="85">
        <f t="shared" si="3"/>
        <v>0</v>
      </c>
      <c r="Q9" s="85">
        <f t="shared" si="3"/>
        <v>50</v>
      </c>
      <c r="R9" s="85">
        <f t="shared" si="3"/>
        <v>0</v>
      </c>
      <c r="S9" s="85">
        <f t="shared" si="3"/>
        <v>0</v>
      </c>
      <c r="T9" s="85">
        <f t="shared" si="3"/>
        <v>0</v>
      </c>
      <c r="U9" s="85">
        <f t="shared" si="3"/>
        <v>40</v>
      </c>
      <c r="V9" s="85">
        <f t="shared" si="3"/>
        <v>25</v>
      </c>
      <c r="W9" s="85">
        <f t="shared" si="3"/>
        <v>0</v>
      </c>
      <c r="X9" s="85">
        <f t="shared" si="2"/>
        <v>151</v>
      </c>
    </row>
    <row r="10" spans="1:24" ht="12" customHeight="1" x14ac:dyDescent="0.25">
      <c r="A10" s="89">
        <v>5</v>
      </c>
      <c r="B10" s="87"/>
      <c r="C10" s="87"/>
      <c r="D10" s="88"/>
      <c r="E10" s="87"/>
      <c r="F10" s="87"/>
      <c r="G10" s="87"/>
      <c r="H10" s="87"/>
      <c r="I10" s="87"/>
      <c r="J10" s="87">
        <v>36</v>
      </c>
      <c r="K10" s="87"/>
      <c r="L10" s="87"/>
      <c r="M10" s="87"/>
      <c r="N10" s="87"/>
      <c r="O10" s="87"/>
      <c r="P10" s="87"/>
      <c r="Q10" s="87">
        <v>50</v>
      </c>
      <c r="R10" s="87"/>
      <c r="S10" s="87"/>
      <c r="T10" s="87"/>
      <c r="U10" s="87">
        <v>40</v>
      </c>
      <c r="V10" s="87">
        <v>25</v>
      </c>
      <c r="W10" s="87"/>
      <c r="X10" s="85">
        <f t="shared" si="2"/>
        <v>151</v>
      </c>
    </row>
    <row r="11" spans="1:24" x14ac:dyDescent="0.25">
      <c r="A11" s="84" t="s">
        <v>282</v>
      </c>
      <c r="B11" s="85">
        <f>B12+B13</f>
        <v>0</v>
      </c>
      <c r="C11" s="85">
        <f t="shared" ref="C11:W11" si="4">C12+C13</f>
        <v>0</v>
      </c>
      <c r="D11" s="85">
        <f t="shared" si="4"/>
        <v>0</v>
      </c>
      <c r="E11" s="85">
        <f t="shared" si="4"/>
        <v>0</v>
      </c>
      <c r="F11" s="85">
        <f t="shared" si="4"/>
        <v>0</v>
      </c>
      <c r="G11" s="85">
        <f t="shared" si="4"/>
        <v>10</v>
      </c>
      <c r="H11" s="85">
        <f t="shared" si="4"/>
        <v>0</v>
      </c>
      <c r="I11" s="85">
        <f t="shared" si="4"/>
        <v>0</v>
      </c>
      <c r="J11" s="85">
        <f t="shared" si="4"/>
        <v>0</v>
      </c>
      <c r="K11" s="85">
        <v>0</v>
      </c>
      <c r="L11" s="85">
        <v>0</v>
      </c>
      <c r="M11" s="85">
        <f t="shared" si="4"/>
        <v>0</v>
      </c>
      <c r="N11" s="85">
        <f t="shared" si="4"/>
        <v>0</v>
      </c>
      <c r="O11" s="85">
        <f t="shared" si="4"/>
        <v>0</v>
      </c>
      <c r="P11" s="85">
        <f t="shared" si="4"/>
        <v>0</v>
      </c>
      <c r="Q11" s="85">
        <f t="shared" si="4"/>
        <v>42</v>
      </c>
      <c r="R11" s="85">
        <f t="shared" si="4"/>
        <v>0</v>
      </c>
      <c r="S11" s="85">
        <f t="shared" si="4"/>
        <v>0</v>
      </c>
      <c r="T11" s="85">
        <v>0</v>
      </c>
      <c r="U11" s="85">
        <f t="shared" si="4"/>
        <v>11</v>
      </c>
      <c r="V11" s="85">
        <v>50</v>
      </c>
      <c r="W11" s="85">
        <f t="shared" si="4"/>
        <v>0</v>
      </c>
      <c r="X11" s="85">
        <f t="shared" si="2"/>
        <v>113</v>
      </c>
    </row>
    <row r="12" spans="1:24" x14ac:dyDescent="0.25">
      <c r="A12" s="89">
        <v>6</v>
      </c>
      <c r="B12" s="87"/>
      <c r="C12" s="87"/>
      <c r="D12" s="88"/>
      <c r="E12" s="87"/>
      <c r="F12" s="87"/>
      <c r="G12" s="87">
        <v>10</v>
      </c>
      <c r="H12" s="87"/>
      <c r="I12" s="87"/>
      <c r="J12" s="87"/>
      <c r="K12" s="87"/>
      <c r="L12" s="87"/>
      <c r="M12" s="87"/>
      <c r="N12" s="87"/>
      <c r="O12" s="87"/>
      <c r="P12" s="87"/>
      <c r="Q12" s="87">
        <v>42</v>
      </c>
      <c r="R12" s="87"/>
      <c r="S12" s="87"/>
      <c r="T12" s="87"/>
      <c r="U12" s="87">
        <v>11</v>
      </c>
      <c r="V12" s="87">
        <v>50</v>
      </c>
      <c r="W12" s="87"/>
      <c r="X12" s="85">
        <f t="shared" si="2"/>
        <v>113</v>
      </c>
    </row>
    <row r="13" spans="1:24" x14ac:dyDescent="0.25">
      <c r="A13" s="89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5">
        <f t="shared" si="2"/>
        <v>0</v>
      </c>
    </row>
    <row r="14" spans="1:24" ht="30" x14ac:dyDescent="0.25">
      <c r="A14" s="84" t="s">
        <v>283</v>
      </c>
      <c r="B14" s="85">
        <f>B15</f>
        <v>0</v>
      </c>
      <c r="C14" s="85">
        <f t="shared" ref="C14:W14" si="5">C15</f>
        <v>0</v>
      </c>
      <c r="D14" s="85">
        <f t="shared" si="5"/>
        <v>0</v>
      </c>
      <c r="E14" s="85">
        <f t="shared" si="5"/>
        <v>0</v>
      </c>
      <c r="F14" s="85">
        <f t="shared" si="5"/>
        <v>0</v>
      </c>
      <c r="G14" s="85">
        <f t="shared" si="5"/>
        <v>0</v>
      </c>
      <c r="H14" s="85">
        <f t="shared" si="5"/>
        <v>0</v>
      </c>
      <c r="I14" s="85">
        <f t="shared" si="5"/>
        <v>0</v>
      </c>
      <c r="J14" s="85">
        <f t="shared" si="5"/>
        <v>0</v>
      </c>
      <c r="K14" s="85">
        <f t="shared" si="5"/>
        <v>0</v>
      </c>
      <c r="L14" s="85">
        <f t="shared" si="5"/>
        <v>0</v>
      </c>
      <c r="M14" s="85">
        <f t="shared" si="5"/>
        <v>0</v>
      </c>
      <c r="N14" s="85">
        <f t="shared" si="5"/>
        <v>0</v>
      </c>
      <c r="O14" s="85">
        <f t="shared" si="5"/>
        <v>0</v>
      </c>
      <c r="P14" s="85">
        <f t="shared" si="5"/>
        <v>0</v>
      </c>
      <c r="Q14" s="85">
        <f t="shared" si="5"/>
        <v>0</v>
      </c>
      <c r="R14" s="85">
        <f t="shared" si="5"/>
        <v>0</v>
      </c>
      <c r="S14" s="85">
        <f t="shared" si="5"/>
        <v>0</v>
      </c>
      <c r="T14" s="85">
        <f t="shared" si="5"/>
        <v>0</v>
      </c>
      <c r="U14" s="85">
        <f t="shared" si="5"/>
        <v>8</v>
      </c>
      <c r="V14" s="85">
        <f t="shared" si="5"/>
        <v>0</v>
      </c>
      <c r="W14" s="85">
        <f t="shared" si="5"/>
        <v>0</v>
      </c>
      <c r="X14" s="85">
        <f t="shared" si="2"/>
        <v>8</v>
      </c>
    </row>
    <row r="15" spans="1:24" x14ac:dyDescent="0.25">
      <c r="A15" s="89">
        <v>8</v>
      </c>
      <c r="B15" s="87"/>
      <c r="C15" s="87"/>
      <c r="D15" s="88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>
        <v>8</v>
      </c>
      <c r="V15" s="87"/>
      <c r="W15" s="87"/>
      <c r="X15" s="85">
        <f t="shared" si="2"/>
        <v>8</v>
      </c>
    </row>
    <row r="16" spans="1:24" x14ac:dyDescent="0.25">
      <c r="A16" s="84" t="s">
        <v>284</v>
      </c>
      <c r="B16" s="85">
        <f t="shared" ref="B16:W16" si="6">B17</f>
        <v>0</v>
      </c>
      <c r="C16" s="85">
        <f t="shared" si="6"/>
        <v>0</v>
      </c>
      <c r="D16" s="85">
        <f t="shared" si="6"/>
        <v>0</v>
      </c>
      <c r="E16" s="85">
        <f t="shared" si="6"/>
        <v>0</v>
      </c>
      <c r="F16" s="85">
        <f t="shared" si="6"/>
        <v>0</v>
      </c>
      <c r="G16" s="85">
        <f t="shared" si="6"/>
        <v>0</v>
      </c>
      <c r="H16" s="85">
        <f t="shared" si="6"/>
        <v>0</v>
      </c>
      <c r="I16" s="85">
        <f t="shared" si="6"/>
        <v>0</v>
      </c>
      <c r="J16" s="85">
        <f t="shared" si="6"/>
        <v>0</v>
      </c>
      <c r="K16" s="85">
        <f t="shared" si="6"/>
        <v>0</v>
      </c>
      <c r="L16" s="85">
        <f t="shared" si="6"/>
        <v>0</v>
      </c>
      <c r="M16" s="85">
        <f t="shared" si="6"/>
        <v>0</v>
      </c>
      <c r="N16" s="85">
        <f t="shared" si="6"/>
        <v>0</v>
      </c>
      <c r="O16" s="85">
        <f t="shared" si="6"/>
        <v>0</v>
      </c>
      <c r="P16" s="85">
        <f t="shared" si="6"/>
        <v>52</v>
      </c>
      <c r="Q16" s="85">
        <f t="shared" si="6"/>
        <v>0</v>
      </c>
      <c r="R16" s="85">
        <f t="shared" si="6"/>
        <v>0</v>
      </c>
      <c r="S16" s="85">
        <f t="shared" si="6"/>
        <v>0</v>
      </c>
      <c r="T16" s="85">
        <f t="shared" si="6"/>
        <v>0</v>
      </c>
      <c r="U16" s="85">
        <f t="shared" si="6"/>
        <v>0</v>
      </c>
      <c r="V16" s="85">
        <f t="shared" si="6"/>
        <v>0</v>
      </c>
      <c r="W16" s="85">
        <f t="shared" si="6"/>
        <v>0</v>
      </c>
      <c r="X16" s="85">
        <f t="shared" si="2"/>
        <v>52</v>
      </c>
    </row>
    <row r="17" spans="1:24" x14ac:dyDescent="0.25">
      <c r="A17" s="89">
        <v>9</v>
      </c>
      <c r="B17" s="87"/>
      <c r="C17" s="87"/>
      <c r="D17" s="88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>
        <v>52</v>
      </c>
      <c r="Q17" s="87"/>
      <c r="R17" s="87"/>
      <c r="S17" s="87"/>
      <c r="T17" s="87"/>
      <c r="U17" s="87"/>
      <c r="V17" s="87"/>
      <c r="W17" s="87"/>
      <c r="X17" s="85">
        <f t="shared" si="2"/>
        <v>52</v>
      </c>
    </row>
    <row r="18" spans="1:24" x14ac:dyDescent="0.25">
      <c r="A18" s="84" t="s">
        <v>285</v>
      </c>
      <c r="B18" s="85">
        <f>B19+B20</f>
        <v>0</v>
      </c>
      <c r="C18" s="85">
        <f t="shared" ref="C18:W18" si="7">C19+C20</f>
        <v>0</v>
      </c>
      <c r="D18" s="85">
        <f t="shared" si="7"/>
        <v>0</v>
      </c>
      <c r="E18" s="85">
        <f t="shared" si="7"/>
        <v>0</v>
      </c>
      <c r="F18" s="85">
        <f t="shared" si="7"/>
        <v>0</v>
      </c>
      <c r="G18" s="85">
        <f t="shared" si="7"/>
        <v>0</v>
      </c>
      <c r="H18" s="85">
        <f t="shared" si="7"/>
        <v>0</v>
      </c>
      <c r="I18" s="85">
        <f t="shared" si="7"/>
        <v>100</v>
      </c>
      <c r="J18" s="85">
        <f t="shared" si="7"/>
        <v>0</v>
      </c>
      <c r="K18" s="85">
        <f t="shared" si="7"/>
        <v>0</v>
      </c>
      <c r="L18" s="85">
        <f t="shared" si="7"/>
        <v>0</v>
      </c>
      <c r="M18" s="85">
        <f t="shared" si="7"/>
        <v>0</v>
      </c>
      <c r="N18" s="85">
        <f t="shared" si="7"/>
        <v>0</v>
      </c>
      <c r="O18" s="85">
        <f t="shared" si="7"/>
        <v>0</v>
      </c>
      <c r="P18" s="85">
        <f t="shared" si="7"/>
        <v>0</v>
      </c>
      <c r="Q18" s="85">
        <f t="shared" si="7"/>
        <v>0</v>
      </c>
      <c r="R18" s="85">
        <f t="shared" si="7"/>
        <v>0</v>
      </c>
      <c r="S18" s="85">
        <f t="shared" si="7"/>
        <v>0</v>
      </c>
      <c r="T18" s="85">
        <f t="shared" si="7"/>
        <v>0</v>
      </c>
      <c r="U18" s="85">
        <f t="shared" si="7"/>
        <v>0</v>
      </c>
      <c r="V18" s="85">
        <f t="shared" si="7"/>
        <v>0</v>
      </c>
      <c r="W18" s="85">
        <f t="shared" si="7"/>
        <v>0</v>
      </c>
      <c r="X18" s="85">
        <f t="shared" si="2"/>
        <v>100</v>
      </c>
    </row>
    <row r="19" spans="1:24" x14ac:dyDescent="0.25">
      <c r="A19" s="89">
        <v>10</v>
      </c>
      <c r="B19" s="87"/>
      <c r="C19" s="87"/>
      <c r="D19" s="88"/>
      <c r="E19" s="87"/>
      <c r="F19" s="87"/>
      <c r="G19" s="87"/>
      <c r="H19" s="87"/>
      <c r="I19" s="87">
        <v>90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5">
        <f t="shared" si="2"/>
        <v>90</v>
      </c>
    </row>
    <row r="20" spans="1:24" x14ac:dyDescent="0.25">
      <c r="A20" s="89">
        <v>11</v>
      </c>
      <c r="B20" s="87"/>
      <c r="C20" s="87"/>
      <c r="D20" s="88"/>
      <c r="E20" s="87"/>
      <c r="F20" s="87"/>
      <c r="G20" s="87"/>
      <c r="H20" s="87"/>
      <c r="I20" s="87">
        <v>10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5">
        <f t="shared" si="2"/>
        <v>10</v>
      </c>
    </row>
    <row r="21" spans="1:24" x14ac:dyDescent="0.25">
      <c r="A21" s="84" t="s">
        <v>286</v>
      </c>
      <c r="B21" s="84">
        <f>B22+B23+B24+B25+B26+B27</f>
        <v>70</v>
      </c>
      <c r="C21" s="84">
        <f t="shared" ref="C21:W21" si="8">C22+C23+C24+C25+C26+C27</f>
        <v>0</v>
      </c>
      <c r="D21" s="84">
        <f t="shared" si="8"/>
        <v>0</v>
      </c>
      <c r="E21" s="84">
        <f t="shared" si="8"/>
        <v>0</v>
      </c>
      <c r="F21" s="84">
        <f t="shared" si="8"/>
        <v>0</v>
      </c>
      <c r="G21" s="84">
        <f t="shared" si="8"/>
        <v>0</v>
      </c>
      <c r="H21" s="84">
        <f t="shared" si="8"/>
        <v>21</v>
      </c>
      <c r="I21" s="84">
        <f t="shared" si="8"/>
        <v>0</v>
      </c>
      <c r="J21" s="84">
        <f t="shared" si="8"/>
        <v>148</v>
      </c>
      <c r="K21" s="84">
        <f t="shared" si="8"/>
        <v>153</v>
      </c>
      <c r="L21" s="84">
        <f t="shared" si="8"/>
        <v>2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413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135</v>
      </c>
      <c r="V21" s="84">
        <f t="shared" si="8"/>
        <v>50</v>
      </c>
      <c r="W21" s="84">
        <f t="shared" si="8"/>
        <v>0</v>
      </c>
      <c r="X21" s="89">
        <f t="shared" si="2"/>
        <v>992</v>
      </c>
    </row>
    <row r="22" spans="1:24" x14ac:dyDescent="0.25">
      <c r="A22" s="89">
        <v>12</v>
      </c>
      <c r="B22" s="87">
        <f>70-5</f>
        <v>65</v>
      </c>
      <c r="C22" s="87"/>
      <c r="D22" s="88"/>
      <c r="E22" s="88"/>
      <c r="F22" s="87"/>
      <c r="G22" s="87"/>
      <c r="H22" s="87">
        <v>6</v>
      </c>
      <c r="I22" s="87"/>
      <c r="J22" s="87">
        <v>138</v>
      </c>
      <c r="K22" s="87">
        <f>157-17</f>
        <v>140</v>
      </c>
      <c r="L22" s="87">
        <v>1</v>
      </c>
      <c r="M22" s="87"/>
      <c r="N22" s="87"/>
      <c r="O22" s="87"/>
      <c r="P22" s="87"/>
      <c r="Q22" s="87">
        <v>388</v>
      </c>
      <c r="R22" s="87"/>
      <c r="S22" s="87"/>
      <c r="T22" s="87"/>
      <c r="U22" s="87">
        <f>81-1</f>
        <v>80</v>
      </c>
      <c r="V22" s="87">
        <v>50</v>
      </c>
      <c r="W22" s="87"/>
      <c r="X22" s="85">
        <f t="shared" si="2"/>
        <v>868</v>
      </c>
    </row>
    <row r="23" spans="1:24" x14ac:dyDescent="0.25">
      <c r="A23" s="89">
        <v>13</v>
      </c>
      <c r="B23" s="87"/>
      <c r="C23" s="87"/>
      <c r="D23" s="87"/>
      <c r="E23" s="87"/>
      <c r="F23" s="87"/>
      <c r="G23" s="87"/>
      <c r="H23" s="87"/>
      <c r="I23" s="87"/>
      <c r="J23" s="87"/>
      <c r="K23" s="87">
        <v>3</v>
      </c>
      <c r="L23" s="87">
        <v>1</v>
      </c>
      <c r="M23" s="87"/>
      <c r="N23" s="87"/>
      <c r="O23" s="87"/>
      <c r="P23" s="87"/>
      <c r="Q23" s="87">
        <v>0</v>
      </c>
      <c r="R23" s="87"/>
      <c r="S23" s="87"/>
      <c r="T23" s="87"/>
      <c r="U23" s="87"/>
      <c r="V23" s="87"/>
      <c r="W23" s="87"/>
      <c r="X23" s="85">
        <f t="shared" si="2"/>
        <v>4</v>
      </c>
    </row>
    <row r="24" spans="1:24" x14ac:dyDescent="0.25">
      <c r="A24" s="89">
        <v>14</v>
      </c>
      <c r="B24" s="87">
        <f>2-1</f>
        <v>1</v>
      </c>
      <c r="C24" s="87"/>
      <c r="D24" s="88"/>
      <c r="E24" s="87"/>
      <c r="F24" s="87"/>
      <c r="G24" s="87"/>
      <c r="H24" s="87"/>
      <c r="I24" s="87"/>
      <c r="J24" s="87">
        <v>6</v>
      </c>
      <c r="K24" s="87">
        <v>10</v>
      </c>
      <c r="L24" s="87"/>
      <c r="M24" s="87"/>
      <c r="N24" s="87"/>
      <c r="O24" s="87"/>
      <c r="P24" s="87"/>
      <c r="Q24" s="87">
        <v>4</v>
      </c>
      <c r="R24" s="87"/>
      <c r="S24" s="87"/>
      <c r="T24" s="87"/>
      <c r="U24" s="87"/>
      <c r="V24" s="87"/>
      <c r="W24" s="87"/>
      <c r="X24" s="85">
        <f t="shared" si="2"/>
        <v>21</v>
      </c>
    </row>
    <row r="25" spans="1:24" x14ac:dyDescent="0.25">
      <c r="A25" s="89">
        <v>15</v>
      </c>
      <c r="B25" s="87">
        <v>0</v>
      </c>
      <c r="C25" s="87"/>
      <c r="D25" s="88"/>
      <c r="E25" s="87"/>
      <c r="F25" s="87"/>
      <c r="G25" s="87"/>
      <c r="H25" s="87">
        <f>17-2</f>
        <v>15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>
        <v>55</v>
      </c>
      <c r="V25" s="87"/>
      <c r="W25" s="87"/>
      <c r="X25" s="85">
        <f t="shared" si="2"/>
        <v>70</v>
      </c>
    </row>
    <row r="26" spans="1:24" x14ac:dyDescent="0.25">
      <c r="A26" s="89">
        <v>16</v>
      </c>
      <c r="B26" s="87">
        <f>5-5</f>
        <v>0</v>
      </c>
      <c r="C26" s="87"/>
      <c r="D26" s="88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>
        <v>9</v>
      </c>
      <c r="R26" s="87"/>
      <c r="S26" s="87"/>
      <c r="T26" s="87"/>
      <c r="U26" s="87"/>
      <c r="V26" s="87"/>
      <c r="W26" s="87"/>
      <c r="X26" s="85">
        <f t="shared" si="2"/>
        <v>9</v>
      </c>
    </row>
    <row r="27" spans="1:24" x14ac:dyDescent="0.25">
      <c r="A27" s="89">
        <v>17</v>
      </c>
      <c r="B27" s="87">
        <v>4</v>
      </c>
      <c r="C27" s="87"/>
      <c r="D27" s="88"/>
      <c r="E27" s="87"/>
      <c r="F27" s="87"/>
      <c r="G27" s="87"/>
      <c r="H27" s="87"/>
      <c r="I27" s="87"/>
      <c r="J27" s="87">
        <v>4</v>
      </c>
      <c r="K27" s="87"/>
      <c r="L27" s="87"/>
      <c r="M27" s="87"/>
      <c r="N27" s="87"/>
      <c r="O27" s="87"/>
      <c r="P27" s="87"/>
      <c r="Q27" s="87">
        <v>12</v>
      </c>
      <c r="R27" s="87"/>
      <c r="S27" s="87"/>
      <c r="T27" s="87"/>
      <c r="U27" s="87"/>
      <c r="V27" s="87"/>
      <c r="W27" s="87"/>
      <c r="X27" s="85">
        <f t="shared" si="2"/>
        <v>20</v>
      </c>
    </row>
    <row r="28" spans="1:24" x14ac:dyDescent="0.25">
      <c r="A28" s="84" t="s">
        <v>287</v>
      </c>
      <c r="B28" s="84">
        <f>B29+B30</f>
        <v>0</v>
      </c>
      <c r="C28" s="84">
        <f t="shared" ref="C28:W28" si="9">C29+C30</f>
        <v>0</v>
      </c>
      <c r="D28" s="84">
        <f t="shared" si="9"/>
        <v>0</v>
      </c>
      <c r="E28" s="84">
        <f t="shared" si="9"/>
        <v>40</v>
      </c>
      <c r="F28" s="84">
        <f t="shared" si="9"/>
        <v>0</v>
      </c>
      <c r="G28" s="84">
        <f t="shared" si="9"/>
        <v>0</v>
      </c>
      <c r="H28" s="84">
        <f t="shared" si="9"/>
        <v>153</v>
      </c>
      <c r="I28" s="84">
        <f t="shared" si="9"/>
        <v>0</v>
      </c>
      <c r="J28" s="84">
        <f t="shared" si="9"/>
        <v>0</v>
      </c>
      <c r="K28" s="84">
        <f t="shared" si="9"/>
        <v>0</v>
      </c>
      <c r="L28" s="84">
        <f t="shared" si="9"/>
        <v>0</v>
      </c>
      <c r="M28" s="84">
        <f t="shared" si="9"/>
        <v>401</v>
      </c>
      <c r="N28" s="84">
        <f t="shared" si="9"/>
        <v>0</v>
      </c>
      <c r="O28" s="84">
        <f t="shared" si="9"/>
        <v>0</v>
      </c>
      <c r="P28" s="84">
        <f t="shared" si="9"/>
        <v>0</v>
      </c>
      <c r="Q28" s="84">
        <f t="shared" si="9"/>
        <v>236</v>
      </c>
      <c r="R28" s="84">
        <f t="shared" si="9"/>
        <v>0</v>
      </c>
      <c r="S28" s="84">
        <f t="shared" si="9"/>
        <v>0</v>
      </c>
      <c r="T28" s="84">
        <f t="shared" si="9"/>
        <v>0</v>
      </c>
      <c r="U28" s="84">
        <f t="shared" si="9"/>
        <v>195</v>
      </c>
      <c r="V28" s="84">
        <f t="shared" si="9"/>
        <v>117</v>
      </c>
      <c r="W28" s="84">
        <f t="shared" si="9"/>
        <v>0</v>
      </c>
      <c r="X28" s="89">
        <f t="shared" si="2"/>
        <v>1142</v>
      </c>
    </row>
    <row r="29" spans="1:24" x14ac:dyDescent="0.25">
      <c r="A29" s="89">
        <v>18</v>
      </c>
      <c r="B29" s="87"/>
      <c r="C29" s="87"/>
      <c r="D29" s="87"/>
      <c r="E29" s="87">
        <v>35</v>
      </c>
      <c r="F29" s="87"/>
      <c r="G29" s="87"/>
      <c r="H29" s="87">
        <v>133</v>
      </c>
      <c r="I29" s="87"/>
      <c r="J29" s="87"/>
      <c r="K29" s="87"/>
      <c r="L29" s="87"/>
      <c r="M29" s="87">
        <v>180</v>
      </c>
      <c r="N29" s="87"/>
      <c r="O29" s="87"/>
      <c r="P29" s="87"/>
      <c r="Q29" s="87">
        <v>187</v>
      </c>
      <c r="R29" s="87"/>
      <c r="S29" s="87"/>
      <c r="T29" s="87"/>
      <c r="U29" s="87">
        <f>144-1</f>
        <v>143</v>
      </c>
      <c r="V29" s="87">
        <f>89+3+3</f>
        <v>95</v>
      </c>
      <c r="W29" s="87"/>
      <c r="X29" s="85">
        <f t="shared" si="2"/>
        <v>773</v>
      </c>
    </row>
    <row r="30" spans="1:24" x14ac:dyDescent="0.25">
      <c r="A30" s="89">
        <v>19</v>
      </c>
      <c r="B30" s="87"/>
      <c r="C30" s="87"/>
      <c r="D30" s="87"/>
      <c r="E30" s="87">
        <v>5</v>
      </c>
      <c r="F30" s="87"/>
      <c r="G30" s="87"/>
      <c r="H30" s="87">
        <v>20</v>
      </c>
      <c r="I30" s="87"/>
      <c r="J30" s="87"/>
      <c r="K30" s="87"/>
      <c r="L30" s="87"/>
      <c r="M30" s="87">
        <v>221</v>
      </c>
      <c r="N30" s="87"/>
      <c r="O30" s="87"/>
      <c r="P30" s="87"/>
      <c r="Q30" s="87">
        <v>49</v>
      </c>
      <c r="R30" s="87"/>
      <c r="S30" s="87"/>
      <c r="T30" s="87"/>
      <c r="U30" s="87">
        <v>52</v>
      </c>
      <c r="V30" s="87">
        <f>25-3</f>
        <v>22</v>
      </c>
      <c r="W30" s="87"/>
      <c r="X30" s="85">
        <f t="shared" si="2"/>
        <v>369</v>
      </c>
    </row>
    <row r="31" spans="1:24" x14ac:dyDescent="0.25">
      <c r="A31" s="84" t="s">
        <v>288</v>
      </c>
      <c r="B31" s="84">
        <f>B32+B33+B34</f>
        <v>0</v>
      </c>
      <c r="C31" s="84">
        <f t="shared" ref="C31:W31" si="10">C32+C33+C34</f>
        <v>0</v>
      </c>
      <c r="D31" s="84">
        <f t="shared" si="10"/>
        <v>0</v>
      </c>
      <c r="E31" s="84">
        <f t="shared" si="10"/>
        <v>0</v>
      </c>
      <c r="F31" s="84">
        <f t="shared" si="10"/>
        <v>0</v>
      </c>
      <c r="G31" s="84">
        <f t="shared" si="10"/>
        <v>0</v>
      </c>
      <c r="H31" s="84">
        <f t="shared" si="10"/>
        <v>0</v>
      </c>
      <c r="I31" s="84">
        <f t="shared" si="10"/>
        <v>0</v>
      </c>
      <c r="J31" s="84">
        <f t="shared" si="10"/>
        <v>0</v>
      </c>
      <c r="K31" s="84">
        <f t="shared" si="10"/>
        <v>0</v>
      </c>
      <c r="L31" s="84">
        <f t="shared" si="10"/>
        <v>0</v>
      </c>
      <c r="M31" s="84">
        <f t="shared" si="10"/>
        <v>0</v>
      </c>
      <c r="N31" s="84">
        <f t="shared" si="10"/>
        <v>0</v>
      </c>
      <c r="O31" s="84">
        <f t="shared" si="10"/>
        <v>0</v>
      </c>
      <c r="P31" s="84">
        <f t="shared" si="10"/>
        <v>0</v>
      </c>
      <c r="Q31" s="84">
        <f t="shared" si="10"/>
        <v>101</v>
      </c>
      <c r="R31" s="84">
        <f t="shared" si="10"/>
        <v>0</v>
      </c>
      <c r="S31" s="84">
        <f t="shared" si="10"/>
        <v>1020</v>
      </c>
      <c r="T31" s="84">
        <f t="shared" si="10"/>
        <v>0</v>
      </c>
      <c r="U31" s="84">
        <f t="shared" si="10"/>
        <v>113</v>
      </c>
      <c r="V31" s="84">
        <f t="shared" si="10"/>
        <v>152</v>
      </c>
      <c r="W31" s="84">
        <f t="shared" si="10"/>
        <v>0</v>
      </c>
      <c r="X31" s="89">
        <f t="shared" si="2"/>
        <v>1386</v>
      </c>
    </row>
    <row r="32" spans="1:24" x14ac:dyDescent="0.25">
      <c r="A32" s="89">
        <v>20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>
        <v>41</v>
      </c>
      <c r="R32" s="87"/>
      <c r="S32" s="87">
        <v>780</v>
      </c>
      <c r="T32" s="87"/>
      <c r="U32" s="87">
        <v>1</v>
      </c>
      <c r="V32" s="87">
        <f>100+2</f>
        <v>102</v>
      </c>
      <c r="W32" s="87"/>
      <c r="X32" s="85">
        <f t="shared" si="2"/>
        <v>924</v>
      </c>
    </row>
    <row r="33" spans="1:24" x14ac:dyDescent="0.25">
      <c r="A33" s="89">
        <v>21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>
        <v>0</v>
      </c>
      <c r="W33" s="87"/>
      <c r="X33" s="85">
        <f t="shared" si="2"/>
        <v>0</v>
      </c>
    </row>
    <row r="34" spans="1:24" x14ac:dyDescent="0.25">
      <c r="A34" s="89">
        <v>22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>
        <v>60</v>
      </c>
      <c r="R34" s="87"/>
      <c r="S34" s="87">
        <v>240</v>
      </c>
      <c r="T34" s="87"/>
      <c r="U34" s="87">
        <f>110+2</f>
        <v>112</v>
      </c>
      <c r="V34" s="87">
        <v>50</v>
      </c>
      <c r="W34" s="87"/>
      <c r="X34" s="85">
        <f t="shared" si="2"/>
        <v>462</v>
      </c>
    </row>
    <row r="35" spans="1:24" x14ac:dyDescent="0.25">
      <c r="A35" s="84" t="s">
        <v>289</v>
      </c>
      <c r="B35" s="84">
        <f>B36+B37</f>
        <v>8</v>
      </c>
      <c r="C35" s="84">
        <f t="shared" ref="C35:W35" si="11">C36+C37</f>
        <v>0</v>
      </c>
      <c r="D35" s="84">
        <f t="shared" si="11"/>
        <v>0</v>
      </c>
      <c r="E35" s="84">
        <f t="shared" si="11"/>
        <v>0</v>
      </c>
      <c r="F35" s="84">
        <f t="shared" si="11"/>
        <v>0</v>
      </c>
      <c r="G35" s="84">
        <f t="shared" si="11"/>
        <v>83</v>
      </c>
      <c r="H35" s="84">
        <f t="shared" si="11"/>
        <v>0</v>
      </c>
      <c r="I35" s="84">
        <f t="shared" si="11"/>
        <v>0</v>
      </c>
      <c r="J35" s="84">
        <f t="shared" si="11"/>
        <v>65</v>
      </c>
      <c r="K35" s="84">
        <f t="shared" si="11"/>
        <v>0</v>
      </c>
      <c r="L35" s="84">
        <f t="shared" si="11"/>
        <v>0</v>
      </c>
      <c r="M35" s="84">
        <f t="shared" si="11"/>
        <v>0</v>
      </c>
      <c r="N35" s="84">
        <f t="shared" si="11"/>
        <v>0</v>
      </c>
      <c r="O35" s="84">
        <f t="shared" si="11"/>
        <v>0</v>
      </c>
      <c r="P35" s="84">
        <f t="shared" si="11"/>
        <v>0</v>
      </c>
      <c r="Q35" s="84">
        <f t="shared" si="11"/>
        <v>140</v>
      </c>
      <c r="R35" s="84">
        <f t="shared" si="11"/>
        <v>0</v>
      </c>
      <c r="S35" s="84">
        <f t="shared" si="11"/>
        <v>0</v>
      </c>
      <c r="T35" s="84">
        <f t="shared" si="11"/>
        <v>0</v>
      </c>
      <c r="U35" s="84">
        <f t="shared" si="11"/>
        <v>50</v>
      </c>
      <c r="V35" s="84">
        <f t="shared" si="11"/>
        <v>0</v>
      </c>
      <c r="W35" s="84">
        <f t="shared" si="11"/>
        <v>0</v>
      </c>
      <c r="X35" s="89">
        <f t="shared" si="2"/>
        <v>346</v>
      </c>
    </row>
    <row r="36" spans="1:24" x14ac:dyDescent="0.25">
      <c r="A36" s="89">
        <v>23</v>
      </c>
      <c r="B36" s="87">
        <v>6</v>
      </c>
      <c r="C36" s="87"/>
      <c r="D36" s="87"/>
      <c r="E36" s="87"/>
      <c r="F36" s="87"/>
      <c r="G36" s="87">
        <v>48</v>
      </c>
      <c r="H36" s="87"/>
      <c r="I36" s="87"/>
      <c r="J36" s="87">
        <v>20</v>
      </c>
      <c r="K36" s="87"/>
      <c r="L36" s="87"/>
      <c r="M36" s="87"/>
      <c r="N36" s="87"/>
      <c r="O36" s="87"/>
      <c r="P36" s="87"/>
      <c r="Q36" s="87">
        <v>117</v>
      </c>
      <c r="R36" s="87"/>
      <c r="S36" s="87"/>
      <c r="T36" s="87"/>
      <c r="U36" s="87">
        <v>26</v>
      </c>
      <c r="V36" s="87"/>
      <c r="W36" s="87"/>
      <c r="X36" s="85">
        <f t="shared" si="2"/>
        <v>217</v>
      </c>
    </row>
    <row r="37" spans="1:24" x14ac:dyDescent="0.25">
      <c r="A37" s="89">
        <v>24</v>
      </c>
      <c r="B37" s="87">
        <v>2</v>
      </c>
      <c r="C37" s="87"/>
      <c r="D37" s="87"/>
      <c r="E37" s="87"/>
      <c r="F37" s="87"/>
      <c r="G37" s="87">
        <f>30+5</f>
        <v>35</v>
      </c>
      <c r="H37" s="87"/>
      <c r="I37" s="87"/>
      <c r="J37" s="87">
        <v>45</v>
      </c>
      <c r="K37" s="87"/>
      <c r="L37" s="87"/>
      <c r="M37" s="87"/>
      <c r="N37" s="87"/>
      <c r="O37" s="87"/>
      <c r="P37" s="87"/>
      <c r="Q37" s="87">
        <v>23</v>
      </c>
      <c r="R37" s="87"/>
      <c r="S37" s="87"/>
      <c r="T37" s="87"/>
      <c r="U37" s="87">
        <v>24</v>
      </c>
      <c r="V37" s="87"/>
      <c r="W37" s="87"/>
      <c r="X37" s="85">
        <f t="shared" si="2"/>
        <v>129</v>
      </c>
    </row>
    <row r="38" spans="1:24" x14ac:dyDescent="0.25">
      <c r="A38" s="84" t="s">
        <v>290</v>
      </c>
      <c r="B38" s="84">
        <f>B39+B40</f>
        <v>0</v>
      </c>
      <c r="C38" s="84">
        <f t="shared" ref="C38:W38" si="12">C39+C40</f>
        <v>200</v>
      </c>
      <c r="D38" s="84">
        <f t="shared" si="12"/>
        <v>0</v>
      </c>
      <c r="E38" s="84">
        <f t="shared" si="12"/>
        <v>0</v>
      </c>
      <c r="F38" s="84">
        <f t="shared" si="12"/>
        <v>84</v>
      </c>
      <c r="G38" s="84">
        <f t="shared" si="12"/>
        <v>0</v>
      </c>
      <c r="H38" s="84">
        <f t="shared" si="12"/>
        <v>0</v>
      </c>
      <c r="I38" s="84">
        <f t="shared" si="12"/>
        <v>0</v>
      </c>
      <c r="J38" s="84">
        <f t="shared" si="12"/>
        <v>0</v>
      </c>
      <c r="K38" s="84">
        <f t="shared" si="12"/>
        <v>0</v>
      </c>
      <c r="L38" s="84">
        <f t="shared" si="12"/>
        <v>0</v>
      </c>
      <c r="M38" s="84">
        <f t="shared" si="12"/>
        <v>0</v>
      </c>
      <c r="N38" s="84">
        <f t="shared" si="12"/>
        <v>2658</v>
      </c>
      <c r="O38" s="84">
        <f t="shared" si="12"/>
        <v>0</v>
      </c>
      <c r="P38" s="84">
        <f t="shared" si="12"/>
        <v>0</v>
      </c>
      <c r="Q38" s="84">
        <f t="shared" si="12"/>
        <v>0</v>
      </c>
      <c r="R38" s="84">
        <f t="shared" si="12"/>
        <v>0</v>
      </c>
      <c r="S38" s="84">
        <f t="shared" si="12"/>
        <v>0</v>
      </c>
      <c r="T38" s="84">
        <f t="shared" si="12"/>
        <v>0</v>
      </c>
      <c r="U38" s="84">
        <f t="shared" si="12"/>
        <v>58</v>
      </c>
      <c r="V38" s="84">
        <f t="shared" si="12"/>
        <v>0</v>
      </c>
      <c r="W38" s="84">
        <f t="shared" si="12"/>
        <v>0</v>
      </c>
      <c r="X38" s="89">
        <f t="shared" si="2"/>
        <v>3000</v>
      </c>
    </row>
    <row r="39" spans="1:24" x14ac:dyDescent="0.25">
      <c r="A39" s="89">
        <v>25</v>
      </c>
      <c r="B39" s="87"/>
      <c r="C39" s="87">
        <v>195</v>
      </c>
      <c r="D39" s="87"/>
      <c r="E39" s="87"/>
      <c r="F39" s="87">
        <v>84</v>
      </c>
      <c r="G39" s="87"/>
      <c r="H39" s="87"/>
      <c r="I39" s="87"/>
      <c r="J39" s="87"/>
      <c r="K39" s="87"/>
      <c r="L39" s="87"/>
      <c r="M39" s="87"/>
      <c r="N39" s="87">
        <f>2640-2</f>
        <v>2638</v>
      </c>
      <c r="O39" s="87"/>
      <c r="P39" s="87"/>
      <c r="Q39" s="87"/>
      <c r="R39" s="87"/>
      <c r="S39" s="87"/>
      <c r="T39" s="87"/>
      <c r="U39" s="87">
        <f>60-2</f>
        <v>58</v>
      </c>
      <c r="V39" s="87"/>
      <c r="W39" s="87"/>
      <c r="X39" s="85">
        <f t="shared" si="2"/>
        <v>2975</v>
      </c>
    </row>
    <row r="40" spans="1:24" x14ac:dyDescent="0.25">
      <c r="A40" s="89">
        <v>26</v>
      </c>
      <c r="B40" s="87"/>
      <c r="C40" s="87">
        <v>5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>
        <v>20</v>
      </c>
      <c r="O40" s="87"/>
      <c r="P40" s="87"/>
      <c r="Q40" s="87"/>
      <c r="R40" s="87"/>
      <c r="S40" s="87"/>
      <c r="T40" s="87"/>
      <c r="U40" s="87"/>
      <c r="V40" s="87"/>
      <c r="W40" s="87"/>
      <c r="X40" s="85">
        <f t="shared" si="2"/>
        <v>25</v>
      </c>
    </row>
    <row r="41" spans="1:24" x14ac:dyDescent="0.25">
      <c r="A41" s="84" t="s">
        <v>291</v>
      </c>
      <c r="B41" s="84">
        <f>B42+B43+B44</f>
        <v>0</v>
      </c>
      <c r="C41" s="84">
        <f t="shared" ref="C41:W41" si="13">C42+C43+C44</f>
        <v>0</v>
      </c>
      <c r="D41" s="84">
        <f t="shared" si="13"/>
        <v>0</v>
      </c>
      <c r="E41" s="84">
        <f t="shared" si="13"/>
        <v>0</v>
      </c>
      <c r="F41" s="84">
        <f t="shared" si="13"/>
        <v>0</v>
      </c>
      <c r="G41" s="84">
        <f t="shared" si="13"/>
        <v>0</v>
      </c>
      <c r="H41" s="84">
        <f t="shared" si="13"/>
        <v>0</v>
      </c>
      <c r="I41" s="84">
        <f t="shared" si="13"/>
        <v>0</v>
      </c>
      <c r="J41" s="84">
        <f t="shared" si="13"/>
        <v>0</v>
      </c>
      <c r="K41" s="84">
        <f t="shared" si="13"/>
        <v>0</v>
      </c>
      <c r="L41" s="84">
        <f t="shared" si="13"/>
        <v>0</v>
      </c>
      <c r="M41" s="84">
        <f t="shared" si="13"/>
        <v>0</v>
      </c>
      <c r="N41" s="84">
        <f t="shared" si="13"/>
        <v>0</v>
      </c>
      <c r="O41" s="84">
        <f t="shared" si="13"/>
        <v>0</v>
      </c>
      <c r="P41" s="84">
        <f t="shared" si="13"/>
        <v>0</v>
      </c>
      <c r="Q41" s="84">
        <f t="shared" si="13"/>
        <v>0</v>
      </c>
      <c r="R41" s="84">
        <f t="shared" si="13"/>
        <v>0</v>
      </c>
      <c r="S41" s="84">
        <f t="shared" si="13"/>
        <v>0</v>
      </c>
      <c r="T41" s="84">
        <f t="shared" si="13"/>
        <v>0</v>
      </c>
      <c r="U41" s="84">
        <f t="shared" si="13"/>
        <v>38</v>
      </c>
      <c r="V41" s="84">
        <f t="shared" si="13"/>
        <v>0</v>
      </c>
      <c r="W41" s="84">
        <f t="shared" si="13"/>
        <v>0</v>
      </c>
      <c r="X41" s="89">
        <f t="shared" si="2"/>
        <v>38</v>
      </c>
    </row>
    <row r="42" spans="1:24" x14ac:dyDescent="0.25">
      <c r="A42" s="89">
        <v>27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>
        <v>5</v>
      </c>
      <c r="V42" s="87"/>
      <c r="W42" s="87"/>
      <c r="X42" s="85">
        <f t="shared" si="2"/>
        <v>5</v>
      </c>
    </row>
    <row r="43" spans="1:24" x14ac:dyDescent="0.25">
      <c r="A43" s="89">
        <v>28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>
        <v>33</v>
      </c>
      <c r="V43" s="87"/>
      <c r="W43" s="87"/>
      <c r="X43" s="85">
        <f t="shared" si="2"/>
        <v>33</v>
      </c>
    </row>
    <row r="44" spans="1:24" x14ac:dyDescent="0.25">
      <c r="A44" s="86">
        <v>29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5">
        <f t="shared" si="2"/>
        <v>0</v>
      </c>
    </row>
    <row r="45" spans="1:24" x14ac:dyDescent="0.25">
      <c r="A45" s="84" t="s">
        <v>292</v>
      </c>
      <c r="B45" s="84">
        <f>B46</f>
        <v>0</v>
      </c>
      <c r="C45" s="84">
        <f t="shared" ref="C45:W45" si="14">C46</f>
        <v>0</v>
      </c>
      <c r="D45" s="84">
        <f t="shared" si="14"/>
        <v>0</v>
      </c>
      <c r="E45" s="84">
        <f t="shared" si="14"/>
        <v>0</v>
      </c>
      <c r="F45" s="84">
        <f t="shared" si="14"/>
        <v>0</v>
      </c>
      <c r="G45" s="84">
        <f t="shared" si="14"/>
        <v>80</v>
      </c>
      <c r="H45" s="84">
        <f t="shared" si="14"/>
        <v>0</v>
      </c>
      <c r="I45" s="84">
        <f t="shared" si="14"/>
        <v>0</v>
      </c>
      <c r="J45" s="84">
        <f t="shared" si="14"/>
        <v>0</v>
      </c>
      <c r="K45" s="84">
        <f t="shared" si="14"/>
        <v>40</v>
      </c>
      <c r="L45" s="84">
        <f t="shared" si="14"/>
        <v>0</v>
      </c>
      <c r="M45" s="84">
        <f t="shared" si="14"/>
        <v>0</v>
      </c>
      <c r="N45" s="84">
        <f t="shared" si="14"/>
        <v>0</v>
      </c>
      <c r="O45" s="84">
        <f t="shared" si="14"/>
        <v>0</v>
      </c>
      <c r="P45" s="84">
        <f t="shared" si="14"/>
        <v>0</v>
      </c>
      <c r="Q45" s="84">
        <f t="shared" si="14"/>
        <v>205</v>
      </c>
      <c r="R45" s="84">
        <f t="shared" si="14"/>
        <v>0</v>
      </c>
      <c r="S45" s="84">
        <f t="shared" si="14"/>
        <v>0</v>
      </c>
      <c r="T45" s="84">
        <f t="shared" si="14"/>
        <v>0</v>
      </c>
      <c r="U45" s="84">
        <f t="shared" si="14"/>
        <v>0</v>
      </c>
      <c r="V45" s="84">
        <f t="shared" si="14"/>
        <v>40</v>
      </c>
      <c r="W45" s="84">
        <f t="shared" si="14"/>
        <v>0</v>
      </c>
      <c r="X45" s="89">
        <f t="shared" si="2"/>
        <v>365</v>
      </c>
    </row>
    <row r="46" spans="1:24" x14ac:dyDescent="0.25">
      <c r="A46" s="90">
        <v>30</v>
      </c>
      <c r="B46" s="87"/>
      <c r="C46" s="87"/>
      <c r="D46" s="87"/>
      <c r="E46" s="87"/>
      <c r="F46" s="87"/>
      <c r="G46" s="87">
        <v>80</v>
      </c>
      <c r="H46" s="87"/>
      <c r="I46" s="87"/>
      <c r="J46" s="87"/>
      <c r="K46" s="87">
        <v>40</v>
      </c>
      <c r="L46" s="87"/>
      <c r="M46" s="87"/>
      <c r="N46" s="87"/>
      <c r="O46" s="87"/>
      <c r="P46" s="87"/>
      <c r="Q46" s="87">
        <v>205</v>
      </c>
      <c r="R46" s="87"/>
      <c r="S46" s="87"/>
      <c r="T46" s="87"/>
      <c r="U46" s="87"/>
      <c r="V46" s="87">
        <v>40</v>
      </c>
      <c r="W46" s="87"/>
      <c r="X46" s="85">
        <f t="shared" si="2"/>
        <v>365</v>
      </c>
    </row>
    <row r="47" spans="1:24" ht="30" x14ac:dyDescent="0.25">
      <c r="A47" s="84" t="s">
        <v>293</v>
      </c>
      <c r="B47" s="84">
        <f>B48+B49+B50+B51+B52+B53+B54+B55+B56+B57</f>
        <v>779</v>
      </c>
      <c r="C47" s="84">
        <f t="shared" ref="C47:W47" si="15">C48+C49+C50+C51+C52+C53+C54+C55+C56+C57</f>
        <v>0</v>
      </c>
      <c r="D47" s="84">
        <f t="shared" si="15"/>
        <v>0</v>
      </c>
      <c r="E47" s="84">
        <f t="shared" si="15"/>
        <v>0</v>
      </c>
      <c r="F47" s="84">
        <f t="shared" si="15"/>
        <v>0</v>
      </c>
      <c r="G47" s="84">
        <f t="shared" si="15"/>
        <v>0</v>
      </c>
      <c r="H47" s="84">
        <f t="shared" si="15"/>
        <v>0</v>
      </c>
      <c r="I47" s="84">
        <f t="shared" si="15"/>
        <v>0</v>
      </c>
      <c r="J47" s="84">
        <f t="shared" si="15"/>
        <v>554</v>
      </c>
      <c r="K47" s="84">
        <f t="shared" si="15"/>
        <v>327</v>
      </c>
      <c r="L47" s="84">
        <f t="shared" si="15"/>
        <v>105</v>
      </c>
      <c r="M47" s="84">
        <f t="shared" si="15"/>
        <v>0</v>
      </c>
      <c r="N47" s="84">
        <f t="shared" si="15"/>
        <v>0</v>
      </c>
      <c r="O47" s="84">
        <f t="shared" si="15"/>
        <v>0</v>
      </c>
      <c r="P47" s="84">
        <f t="shared" si="15"/>
        <v>0</v>
      </c>
      <c r="Q47" s="84">
        <f t="shared" si="15"/>
        <v>260</v>
      </c>
      <c r="R47" s="84">
        <f t="shared" si="15"/>
        <v>0</v>
      </c>
      <c r="S47" s="84">
        <f t="shared" si="15"/>
        <v>0</v>
      </c>
      <c r="T47" s="84">
        <f t="shared" si="15"/>
        <v>2960</v>
      </c>
      <c r="U47" s="84">
        <f t="shared" si="15"/>
        <v>0</v>
      </c>
      <c r="V47" s="84">
        <f t="shared" si="15"/>
        <v>360</v>
      </c>
      <c r="W47" s="84">
        <f t="shared" si="15"/>
        <v>0</v>
      </c>
      <c r="X47" s="89">
        <f t="shared" si="2"/>
        <v>5345</v>
      </c>
    </row>
    <row r="48" spans="1:24" x14ac:dyDescent="0.25">
      <c r="A48" s="89">
        <v>31</v>
      </c>
      <c r="B48" s="87">
        <v>286</v>
      </c>
      <c r="C48" s="87"/>
      <c r="D48" s="87"/>
      <c r="E48" s="87"/>
      <c r="F48" s="87"/>
      <c r="G48" s="87"/>
      <c r="H48" s="87"/>
      <c r="I48" s="87"/>
      <c r="J48" s="87">
        <v>212</v>
      </c>
      <c r="K48" s="87">
        <v>221</v>
      </c>
      <c r="L48" s="87">
        <v>59</v>
      </c>
      <c r="M48" s="87"/>
      <c r="N48" s="87"/>
      <c r="O48" s="87"/>
      <c r="P48" s="87"/>
      <c r="Q48" s="87">
        <v>28</v>
      </c>
      <c r="R48" s="87"/>
      <c r="S48" s="87"/>
      <c r="T48" s="87">
        <v>304</v>
      </c>
      <c r="U48" s="87"/>
      <c r="V48" s="87">
        <v>116</v>
      </c>
      <c r="W48" s="87"/>
      <c r="X48" s="85">
        <f t="shared" si="2"/>
        <v>1226</v>
      </c>
    </row>
    <row r="49" spans="1:24" x14ac:dyDescent="0.25">
      <c r="A49" s="89">
        <v>32</v>
      </c>
      <c r="B49" s="87">
        <v>95</v>
      </c>
      <c r="C49" s="87"/>
      <c r="D49" s="87"/>
      <c r="E49" s="87"/>
      <c r="F49" s="87"/>
      <c r="G49" s="87"/>
      <c r="H49" s="87"/>
      <c r="I49" s="87"/>
      <c r="J49" s="87">
        <v>58</v>
      </c>
      <c r="K49" s="87">
        <v>15</v>
      </c>
      <c r="L49" s="87">
        <v>37</v>
      </c>
      <c r="M49" s="87"/>
      <c r="N49" s="87"/>
      <c r="O49" s="87"/>
      <c r="P49" s="87"/>
      <c r="Q49" s="87">
        <v>19</v>
      </c>
      <c r="R49" s="87"/>
      <c r="S49" s="87"/>
      <c r="T49" s="87">
        <v>122</v>
      </c>
      <c r="U49" s="87"/>
      <c r="V49" s="87">
        <f>30+3</f>
        <v>33</v>
      </c>
      <c r="W49" s="87"/>
      <c r="X49" s="85">
        <f t="shared" si="2"/>
        <v>379</v>
      </c>
    </row>
    <row r="50" spans="1:24" x14ac:dyDescent="0.25">
      <c r="A50" s="89">
        <v>33</v>
      </c>
      <c r="B50" s="87">
        <v>18</v>
      </c>
      <c r="C50" s="87"/>
      <c r="D50" s="87"/>
      <c r="E50" s="87"/>
      <c r="F50" s="87"/>
      <c r="G50" s="87"/>
      <c r="H50" s="87"/>
      <c r="I50" s="87"/>
      <c r="J50" s="87">
        <v>12</v>
      </c>
      <c r="K50" s="87">
        <v>1</v>
      </c>
      <c r="L50" s="87">
        <v>9</v>
      </c>
      <c r="M50" s="87"/>
      <c r="N50" s="87"/>
      <c r="O50" s="87"/>
      <c r="P50" s="87"/>
      <c r="Q50" s="87">
        <v>4</v>
      </c>
      <c r="R50" s="87"/>
      <c r="S50" s="87"/>
      <c r="T50" s="87">
        <v>35</v>
      </c>
      <c r="U50" s="87"/>
      <c r="V50" s="87">
        <f>4+2</f>
        <v>6</v>
      </c>
      <c r="W50" s="87"/>
      <c r="X50" s="85">
        <f t="shared" si="2"/>
        <v>85</v>
      </c>
    </row>
    <row r="51" spans="1:24" x14ac:dyDescent="0.25">
      <c r="A51" s="89">
        <v>34</v>
      </c>
      <c r="B51" s="87">
        <v>282</v>
      </c>
      <c r="C51" s="87"/>
      <c r="D51" s="87"/>
      <c r="E51" s="87"/>
      <c r="F51" s="87"/>
      <c r="G51" s="87"/>
      <c r="H51" s="87"/>
      <c r="I51" s="87"/>
      <c r="J51" s="87">
        <v>211</v>
      </c>
      <c r="K51" s="87">
        <v>88</v>
      </c>
      <c r="L51" s="87"/>
      <c r="M51" s="87"/>
      <c r="N51" s="87"/>
      <c r="O51" s="87"/>
      <c r="P51" s="87"/>
      <c r="Q51" s="87">
        <v>118</v>
      </c>
      <c r="R51" s="87"/>
      <c r="S51" s="87"/>
      <c r="T51" s="87">
        <v>642</v>
      </c>
      <c r="U51" s="87"/>
      <c r="V51" s="87">
        <v>110</v>
      </c>
      <c r="W51" s="87"/>
      <c r="X51" s="85">
        <f t="shared" si="2"/>
        <v>1451</v>
      </c>
    </row>
    <row r="52" spans="1:24" x14ac:dyDescent="0.25">
      <c r="A52" s="89">
        <v>35</v>
      </c>
      <c r="B52" s="87">
        <v>85</v>
      </c>
      <c r="C52" s="87"/>
      <c r="D52" s="87"/>
      <c r="E52" s="87"/>
      <c r="F52" s="87"/>
      <c r="G52" s="87"/>
      <c r="H52" s="87"/>
      <c r="I52" s="87"/>
      <c r="J52" s="87">
        <v>52</v>
      </c>
      <c r="K52" s="87">
        <f>10-8</f>
        <v>2</v>
      </c>
      <c r="L52" s="87"/>
      <c r="M52" s="87"/>
      <c r="N52" s="87"/>
      <c r="O52" s="87"/>
      <c r="P52" s="87"/>
      <c r="Q52" s="87">
        <v>77</v>
      </c>
      <c r="R52" s="87"/>
      <c r="S52" s="87"/>
      <c r="T52" s="87">
        <v>210</v>
      </c>
      <c r="U52" s="87"/>
      <c r="V52" s="87">
        <v>44</v>
      </c>
      <c r="W52" s="87"/>
      <c r="X52" s="85">
        <f t="shared" si="2"/>
        <v>470</v>
      </c>
    </row>
    <row r="53" spans="1:24" x14ac:dyDescent="0.25">
      <c r="A53" s="89">
        <v>36</v>
      </c>
      <c r="B53" s="87">
        <v>13</v>
      </c>
      <c r="C53" s="87"/>
      <c r="D53" s="87"/>
      <c r="E53" s="87"/>
      <c r="F53" s="87"/>
      <c r="G53" s="87"/>
      <c r="H53" s="87"/>
      <c r="I53" s="87"/>
      <c r="J53" s="87">
        <v>9</v>
      </c>
      <c r="K53" s="87"/>
      <c r="L53" s="87"/>
      <c r="M53" s="87"/>
      <c r="N53" s="87"/>
      <c r="O53" s="87"/>
      <c r="P53" s="87"/>
      <c r="Q53" s="87">
        <v>14</v>
      </c>
      <c r="R53" s="87"/>
      <c r="S53" s="87"/>
      <c r="T53" s="87">
        <v>67</v>
      </c>
      <c r="U53" s="87"/>
      <c r="V53" s="87">
        <f>16-9</f>
        <v>7</v>
      </c>
      <c r="W53" s="87"/>
      <c r="X53" s="85">
        <f t="shared" si="2"/>
        <v>110</v>
      </c>
    </row>
    <row r="54" spans="1:24" x14ac:dyDescent="0.25">
      <c r="A54" s="89">
        <v>37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>
        <v>462</v>
      </c>
      <c r="U54" s="87"/>
      <c r="V54" s="87">
        <v>10</v>
      </c>
      <c r="W54" s="87"/>
      <c r="X54" s="85">
        <f t="shared" si="2"/>
        <v>472</v>
      </c>
    </row>
    <row r="55" spans="1:24" x14ac:dyDescent="0.25">
      <c r="A55" s="89">
        <v>38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>
        <v>3</v>
      </c>
      <c r="U55" s="87"/>
      <c r="V55" s="87"/>
      <c r="W55" s="87"/>
      <c r="X55" s="85">
        <f t="shared" si="2"/>
        <v>3</v>
      </c>
    </row>
    <row r="56" spans="1:24" x14ac:dyDescent="0.25">
      <c r="A56" s="89">
        <v>39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>
        <v>615</v>
      </c>
      <c r="U56" s="87"/>
      <c r="V56" s="87">
        <v>10</v>
      </c>
      <c r="W56" s="87"/>
      <c r="X56" s="85">
        <f t="shared" si="2"/>
        <v>625</v>
      </c>
    </row>
    <row r="57" spans="1:24" x14ac:dyDescent="0.25">
      <c r="A57" s="89">
        <v>40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>
        <v>500</v>
      </c>
      <c r="U57" s="87"/>
      <c r="V57" s="87">
        <f>20+4</f>
        <v>24</v>
      </c>
      <c r="W57" s="87"/>
      <c r="X57" s="85">
        <f t="shared" si="2"/>
        <v>524</v>
      </c>
    </row>
    <row r="58" spans="1:24" x14ac:dyDescent="0.25">
      <c r="A58" s="84" t="s">
        <v>294</v>
      </c>
      <c r="B58" s="84">
        <f>B59+B60</f>
        <v>0</v>
      </c>
      <c r="C58" s="84">
        <f t="shared" ref="C58:W58" si="16">C59+C60</f>
        <v>0</v>
      </c>
      <c r="D58" s="84">
        <f t="shared" si="16"/>
        <v>0</v>
      </c>
      <c r="E58" s="84">
        <f t="shared" si="16"/>
        <v>0</v>
      </c>
      <c r="F58" s="84">
        <f t="shared" si="16"/>
        <v>0</v>
      </c>
      <c r="G58" s="84">
        <f t="shared" si="16"/>
        <v>0</v>
      </c>
      <c r="H58" s="84">
        <f t="shared" si="16"/>
        <v>0</v>
      </c>
      <c r="I58" s="84">
        <f t="shared" si="16"/>
        <v>0</v>
      </c>
      <c r="J58" s="84">
        <f t="shared" si="16"/>
        <v>0</v>
      </c>
      <c r="K58" s="84">
        <f t="shared" si="16"/>
        <v>0</v>
      </c>
      <c r="L58" s="84">
        <f t="shared" si="16"/>
        <v>0</v>
      </c>
      <c r="M58" s="84">
        <f t="shared" si="16"/>
        <v>0</v>
      </c>
      <c r="N58" s="84">
        <f t="shared" si="16"/>
        <v>0</v>
      </c>
      <c r="O58" s="84">
        <f t="shared" si="16"/>
        <v>0</v>
      </c>
      <c r="P58" s="84">
        <f t="shared" si="16"/>
        <v>0</v>
      </c>
      <c r="Q58" s="84">
        <f t="shared" si="16"/>
        <v>30</v>
      </c>
      <c r="R58" s="84">
        <f t="shared" si="16"/>
        <v>0</v>
      </c>
      <c r="S58" s="84">
        <f t="shared" si="16"/>
        <v>0</v>
      </c>
      <c r="T58" s="84">
        <f t="shared" si="16"/>
        <v>0</v>
      </c>
      <c r="U58" s="84">
        <f t="shared" si="16"/>
        <v>0</v>
      </c>
      <c r="V58" s="84">
        <f t="shared" si="16"/>
        <v>50</v>
      </c>
      <c r="W58" s="84">
        <f t="shared" si="16"/>
        <v>0</v>
      </c>
      <c r="X58" s="89">
        <f t="shared" si="2"/>
        <v>80</v>
      </c>
    </row>
    <row r="59" spans="1:24" x14ac:dyDescent="0.25">
      <c r="A59" s="89">
        <v>41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>
        <v>20</v>
      </c>
      <c r="R59" s="87"/>
      <c r="S59" s="87"/>
      <c r="T59" s="87"/>
      <c r="U59" s="87"/>
      <c r="V59" s="87">
        <v>50</v>
      </c>
      <c r="W59" s="87"/>
      <c r="X59" s="85">
        <f t="shared" si="2"/>
        <v>70</v>
      </c>
    </row>
    <row r="60" spans="1:24" x14ac:dyDescent="0.25">
      <c r="A60" s="89">
        <v>42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>
        <v>10</v>
      </c>
      <c r="R60" s="87"/>
      <c r="S60" s="87"/>
      <c r="T60" s="87"/>
      <c r="U60" s="87"/>
      <c r="V60" s="87"/>
      <c r="W60" s="87"/>
      <c r="X60" s="85">
        <f t="shared" si="2"/>
        <v>10</v>
      </c>
    </row>
    <row r="61" spans="1:24" x14ac:dyDescent="0.25">
      <c r="A61" s="84" t="s">
        <v>295</v>
      </c>
      <c r="B61" s="84">
        <f t="shared" ref="B61:W61" si="17">SUM(B62:B66)</f>
        <v>184</v>
      </c>
      <c r="C61" s="84">
        <f t="shared" si="17"/>
        <v>0</v>
      </c>
      <c r="D61" s="84">
        <f t="shared" si="17"/>
        <v>20</v>
      </c>
      <c r="E61" s="84">
        <f t="shared" si="17"/>
        <v>0</v>
      </c>
      <c r="F61" s="84">
        <f t="shared" si="17"/>
        <v>0</v>
      </c>
      <c r="G61" s="84">
        <f t="shared" si="17"/>
        <v>93</v>
      </c>
      <c r="H61" s="84">
        <f t="shared" si="17"/>
        <v>218</v>
      </c>
      <c r="I61" s="84">
        <f t="shared" si="17"/>
        <v>230</v>
      </c>
      <c r="J61" s="84">
        <f t="shared" si="17"/>
        <v>207</v>
      </c>
      <c r="K61" s="84">
        <f t="shared" si="17"/>
        <v>119</v>
      </c>
      <c r="L61" s="84">
        <f t="shared" si="17"/>
        <v>24</v>
      </c>
      <c r="M61" s="84">
        <f t="shared" si="17"/>
        <v>0</v>
      </c>
      <c r="N61" s="84">
        <f t="shared" si="17"/>
        <v>0</v>
      </c>
      <c r="O61" s="84">
        <f t="shared" si="17"/>
        <v>0</v>
      </c>
      <c r="P61" s="84">
        <f t="shared" si="17"/>
        <v>0</v>
      </c>
      <c r="Q61" s="84">
        <f t="shared" si="17"/>
        <v>403</v>
      </c>
      <c r="R61" s="84">
        <f t="shared" si="17"/>
        <v>216</v>
      </c>
      <c r="S61" s="84">
        <f t="shared" si="17"/>
        <v>0</v>
      </c>
      <c r="T61" s="84">
        <f t="shared" si="17"/>
        <v>0</v>
      </c>
      <c r="U61" s="84">
        <f t="shared" si="17"/>
        <v>55</v>
      </c>
      <c r="V61" s="84">
        <f t="shared" si="17"/>
        <v>50</v>
      </c>
      <c r="W61" s="84">
        <f t="shared" si="17"/>
        <v>0</v>
      </c>
      <c r="X61" s="89">
        <f t="shared" si="2"/>
        <v>1819</v>
      </c>
    </row>
    <row r="62" spans="1:24" x14ac:dyDescent="0.25">
      <c r="A62" s="89">
        <v>43</v>
      </c>
      <c r="B62" s="87">
        <v>41</v>
      </c>
      <c r="C62" s="87"/>
      <c r="D62" s="87"/>
      <c r="E62" s="87"/>
      <c r="F62" s="87"/>
      <c r="G62" s="87">
        <v>22</v>
      </c>
      <c r="H62" s="87">
        <v>204</v>
      </c>
      <c r="I62" s="87">
        <v>10</v>
      </c>
      <c r="J62" s="87">
        <v>63</v>
      </c>
      <c r="K62" s="87">
        <v>42</v>
      </c>
      <c r="L62" s="87">
        <v>8</v>
      </c>
      <c r="M62" s="87"/>
      <c r="N62" s="87"/>
      <c r="O62" s="87"/>
      <c r="P62" s="87"/>
      <c r="Q62" s="87">
        <v>80</v>
      </c>
      <c r="R62" s="87">
        <v>54</v>
      </c>
      <c r="S62" s="87"/>
      <c r="T62" s="87"/>
      <c r="U62" s="87">
        <f>55-2</f>
        <v>53</v>
      </c>
      <c r="V62" s="87"/>
      <c r="W62" s="87"/>
      <c r="X62" s="85">
        <f t="shared" si="2"/>
        <v>577</v>
      </c>
    </row>
    <row r="63" spans="1:24" x14ac:dyDescent="0.25">
      <c r="A63" s="89">
        <v>44</v>
      </c>
      <c r="B63" s="87">
        <f>40-2</f>
        <v>38</v>
      </c>
      <c r="C63" s="87"/>
      <c r="D63" s="87">
        <v>20</v>
      </c>
      <c r="E63" s="87"/>
      <c r="F63" s="87"/>
      <c r="G63" s="87">
        <v>28</v>
      </c>
      <c r="H63" s="87">
        <f>1+1+1</f>
        <v>3</v>
      </c>
      <c r="I63" s="87"/>
      <c r="J63" s="87">
        <v>19</v>
      </c>
      <c r="K63" s="87">
        <f>57-4</f>
        <v>53</v>
      </c>
      <c r="L63" s="87">
        <f>10-1</f>
        <v>9</v>
      </c>
      <c r="M63" s="87"/>
      <c r="N63" s="87"/>
      <c r="O63" s="87"/>
      <c r="P63" s="87"/>
      <c r="Q63" s="87">
        <v>21</v>
      </c>
      <c r="R63" s="87"/>
      <c r="S63" s="87"/>
      <c r="T63" s="87"/>
      <c r="U63" s="87">
        <v>0</v>
      </c>
      <c r="V63" s="87"/>
      <c r="W63" s="87"/>
      <c r="X63" s="85">
        <f t="shared" si="2"/>
        <v>191</v>
      </c>
    </row>
    <row r="64" spans="1:24" x14ac:dyDescent="0.25">
      <c r="A64" s="89">
        <v>45</v>
      </c>
      <c r="B64" s="87"/>
      <c r="C64" s="87"/>
      <c r="D64" s="87"/>
      <c r="E64" s="87"/>
      <c r="F64" s="87"/>
      <c r="G64" s="87"/>
      <c r="H64" s="87">
        <v>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>
        <v>2</v>
      </c>
      <c r="V64" s="87"/>
      <c r="W64" s="87"/>
      <c r="X64" s="85">
        <f t="shared" si="2"/>
        <v>5</v>
      </c>
    </row>
    <row r="65" spans="1:24" x14ac:dyDescent="0.25">
      <c r="A65" s="89">
        <v>46</v>
      </c>
      <c r="B65" s="87">
        <v>105</v>
      </c>
      <c r="C65" s="87"/>
      <c r="D65" s="87"/>
      <c r="E65" s="87"/>
      <c r="F65" s="87"/>
      <c r="G65" s="87">
        <v>43</v>
      </c>
      <c r="H65" s="87"/>
      <c r="I65" s="87">
        <v>220</v>
      </c>
      <c r="J65" s="87">
        <v>125</v>
      </c>
      <c r="K65" s="87">
        <f>30-6</f>
        <v>24</v>
      </c>
      <c r="L65" s="87">
        <v>7</v>
      </c>
      <c r="M65" s="87"/>
      <c r="N65" s="87"/>
      <c r="O65" s="87"/>
      <c r="P65" s="87"/>
      <c r="Q65" s="87">
        <v>302</v>
      </c>
      <c r="R65" s="87">
        <v>162</v>
      </c>
      <c r="S65" s="87"/>
      <c r="T65" s="87"/>
      <c r="U65" s="87"/>
      <c r="V65" s="87">
        <v>50</v>
      </c>
      <c r="W65" s="87">
        <v>0</v>
      </c>
      <c r="X65" s="85">
        <f t="shared" si="2"/>
        <v>1038</v>
      </c>
    </row>
    <row r="66" spans="1:24" x14ac:dyDescent="0.25">
      <c r="A66" s="89">
        <v>47</v>
      </c>
      <c r="B66" s="87"/>
      <c r="C66" s="87"/>
      <c r="D66" s="87"/>
      <c r="E66" s="87"/>
      <c r="F66" s="87"/>
      <c r="G66" s="87"/>
      <c r="H66" s="87">
        <f>5+3</f>
        <v>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5">
        <f t="shared" si="2"/>
        <v>8</v>
      </c>
    </row>
    <row r="67" spans="1:24" x14ac:dyDescent="0.25">
      <c r="A67" s="84" t="s">
        <v>296</v>
      </c>
      <c r="B67" s="84">
        <f>B68+B69</f>
        <v>30</v>
      </c>
      <c r="C67" s="84">
        <f t="shared" ref="C67:W67" si="18">C68+C69</f>
        <v>0</v>
      </c>
      <c r="D67" s="84">
        <f t="shared" si="18"/>
        <v>0</v>
      </c>
      <c r="E67" s="84">
        <f t="shared" si="18"/>
        <v>0</v>
      </c>
      <c r="F67" s="84">
        <f t="shared" si="18"/>
        <v>0</v>
      </c>
      <c r="G67" s="84">
        <f t="shared" si="18"/>
        <v>0</v>
      </c>
      <c r="H67" s="84">
        <f t="shared" si="18"/>
        <v>25</v>
      </c>
      <c r="I67" s="84">
        <f t="shared" si="18"/>
        <v>0</v>
      </c>
      <c r="J67" s="84">
        <f t="shared" si="18"/>
        <v>10</v>
      </c>
      <c r="K67" s="84">
        <f t="shared" si="18"/>
        <v>0</v>
      </c>
      <c r="L67" s="84">
        <f t="shared" si="18"/>
        <v>0</v>
      </c>
      <c r="M67" s="84">
        <f t="shared" si="18"/>
        <v>0</v>
      </c>
      <c r="N67" s="84">
        <f t="shared" si="18"/>
        <v>0</v>
      </c>
      <c r="O67" s="84">
        <f t="shared" si="18"/>
        <v>41</v>
      </c>
      <c r="P67" s="84">
        <f t="shared" si="18"/>
        <v>0</v>
      </c>
      <c r="Q67" s="84">
        <f t="shared" si="18"/>
        <v>117</v>
      </c>
      <c r="R67" s="84">
        <f t="shared" si="18"/>
        <v>0</v>
      </c>
      <c r="S67" s="84">
        <f t="shared" si="18"/>
        <v>0</v>
      </c>
      <c r="T67" s="84">
        <f t="shared" si="18"/>
        <v>0</v>
      </c>
      <c r="U67" s="84">
        <f t="shared" si="18"/>
        <v>129</v>
      </c>
      <c r="V67" s="84">
        <f t="shared" si="18"/>
        <v>120</v>
      </c>
      <c r="W67" s="84">
        <f t="shared" si="18"/>
        <v>18</v>
      </c>
      <c r="X67" s="89">
        <f t="shared" si="2"/>
        <v>490</v>
      </c>
    </row>
    <row r="68" spans="1:24" x14ac:dyDescent="0.25">
      <c r="A68" s="89">
        <v>48</v>
      </c>
      <c r="B68" s="87">
        <v>30</v>
      </c>
      <c r="C68" s="87"/>
      <c r="D68" s="87"/>
      <c r="E68" s="87"/>
      <c r="F68" s="87"/>
      <c r="G68" s="87"/>
      <c r="H68" s="87">
        <v>25</v>
      </c>
      <c r="I68" s="87"/>
      <c r="J68" s="87">
        <v>10</v>
      </c>
      <c r="K68" s="87"/>
      <c r="L68" s="87"/>
      <c r="M68" s="87"/>
      <c r="N68" s="87"/>
      <c r="O68" s="87">
        <v>31</v>
      </c>
      <c r="P68" s="87"/>
      <c r="Q68" s="87">
        <v>107</v>
      </c>
      <c r="R68" s="87"/>
      <c r="S68" s="87"/>
      <c r="T68" s="87"/>
      <c r="U68" s="87">
        <f>130-1</f>
        <v>129</v>
      </c>
      <c r="V68" s="87">
        <f>121-1</f>
        <v>120</v>
      </c>
      <c r="W68" s="87">
        <v>18</v>
      </c>
      <c r="X68" s="85">
        <f t="shared" si="2"/>
        <v>470</v>
      </c>
    </row>
    <row r="69" spans="1:24" x14ac:dyDescent="0.25">
      <c r="A69" s="89">
        <v>49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>
        <v>10</v>
      </c>
      <c r="P69" s="87"/>
      <c r="Q69" s="87">
        <v>10</v>
      </c>
      <c r="R69" s="87"/>
      <c r="S69" s="87"/>
      <c r="T69" s="87"/>
      <c r="U69" s="87"/>
      <c r="V69" s="87"/>
      <c r="W69" s="87"/>
      <c r="X69" s="85">
        <f t="shared" si="2"/>
        <v>20</v>
      </c>
    </row>
    <row r="70" spans="1:24" ht="30" x14ac:dyDescent="0.25">
      <c r="A70" s="84" t="s">
        <v>297</v>
      </c>
      <c r="B70" s="84">
        <f>B71</f>
        <v>0</v>
      </c>
      <c r="C70" s="84">
        <f t="shared" ref="C70:W70" si="19">C71</f>
        <v>0</v>
      </c>
      <c r="D70" s="84">
        <f t="shared" si="19"/>
        <v>0</v>
      </c>
      <c r="E70" s="84">
        <f t="shared" si="19"/>
        <v>0</v>
      </c>
      <c r="F70" s="84">
        <f t="shared" si="19"/>
        <v>0</v>
      </c>
      <c r="G70" s="84">
        <f t="shared" si="19"/>
        <v>0</v>
      </c>
      <c r="H70" s="84">
        <f t="shared" si="19"/>
        <v>0</v>
      </c>
      <c r="I70" s="84">
        <f t="shared" si="19"/>
        <v>0</v>
      </c>
      <c r="J70" s="84">
        <f t="shared" si="19"/>
        <v>60</v>
      </c>
      <c r="K70" s="84">
        <f t="shared" si="19"/>
        <v>0</v>
      </c>
      <c r="L70" s="84">
        <f t="shared" si="19"/>
        <v>0</v>
      </c>
      <c r="M70" s="84">
        <f t="shared" si="19"/>
        <v>0</v>
      </c>
      <c r="N70" s="84">
        <f t="shared" si="19"/>
        <v>0</v>
      </c>
      <c r="O70" s="84">
        <f t="shared" si="19"/>
        <v>0</v>
      </c>
      <c r="P70" s="84">
        <f t="shared" si="19"/>
        <v>0</v>
      </c>
      <c r="Q70" s="84">
        <f t="shared" si="19"/>
        <v>0</v>
      </c>
      <c r="R70" s="84">
        <f t="shared" si="19"/>
        <v>0</v>
      </c>
      <c r="S70" s="84">
        <f t="shared" si="19"/>
        <v>0</v>
      </c>
      <c r="T70" s="84">
        <f t="shared" si="19"/>
        <v>0</v>
      </c>
      <c r="U70" s="84">
        <f t="shared" si="19"/>
        <v>42</v>
      </c>
      <c r="V70" s="84">
        <f t="shared" si="19"/>
        <v>0</v>
      </c>
      <c r="W70" s="84">
        <f t="shared" si="19"/>
        <v>0</v>
      </c>
      <c r="X70" s="89">
        <f t="shared" ref="X70:X75" si="20">B70+C70+D70+E70+F70+G70+H70+I70+J70+K70+L70+M70+N70+O70+P70+Q70+R70+S70+T70+U70+V70+W70</f>
        <v>102</v>
      </c>
    </row>
    <row r="71" spans="1:24" x14ac:dyDescent="0.25">
      <c r="A71" s="89">
        <v>50</v>
      </c>
      <c r="B71" s="87"/>
      <c r="C71" s="87"/>
      <c r="D71" s="87"/>
      <c r="E71" s="87"/>
      <c r="F71" s="87"/>
      <c r="G71" s="87"/>
      <c r="H71" s="87"/>
      <c r="I71" s="87"/>
      <c r="J71" s="87">
        <v>60</v>
      </c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>
        <f>43-1</f>
        <v>42</v>
      </c>
      <c r="V71" s="87"/>
      <c r="W71" s="87"/>
      <c r="X71" s="85">
        <f t="shared" si="20"/>
        <v>102</v>
      </c>
    </row>
    <row r="72" spans="1:24" x14ac:dyDescent="0.25">
      <c r="A72" s="84" t="s">
        <v>298</v>
      </c>
      <c r="B72" s="84">
        <f>B73+B74</f>
        <v>0</v>
      </c>
      <c r="C72" s="84">
        <f t="shared" ref="C72:W72" si="21">C73+C74</f>
        <v>0</v>
      </c>
      <c r="D72" s="84">
        <f t="shared" si="21"/>
        <v>0</v>
      </c>
      <c r="E72" s="84">
        <f t="shared" si="21"/>
        <v>0</v>
      </c>
      <c r="F72" s="84">
        <f t="shared" si="21"/>
        <v>0</v>
      </c>
      <c r="G72" s="84">
        <f t="shared" si="21"/>
        <v>0</v>
      </c>
      <c r="H72" s="84">
        <f t="shared" si="21"/>
        <v>0</v>
      </c>
      <c r="I72" s="84">
        <f t="shared" si="21"/>
        <v>0</v>
      </c>
      <c r="J72" s="84">
        <f t="shared" si="21"/>
        <v>10</v>
      </c>
      <c r="K72" s="84">
        <f t="shared" si="21"/>
        <v>0</v>
      </c>
      <c r="L72" s="84">
        <f t="shared" si="21"/>
        <v>0</v>
      </c>
      <c r="M72" s="84">
        <f t="shared" si="21"/>
        <v>0</v>
      </c>
      <c r="N72" s="84">
        <f t="shared" si="21"/>
        <v>0</v>
      </c>
      <c r="O72" s="84">
        <f t="shared" si="21"/>
        <v>0</v>
      </c>
      <c r="P72" s="84">
        <f t="shared" si="21"/>
        <v>0</v>
      </c>
      <c r="Q72" s="84">
        <f t="shared" si="21"/>
        <v>10</v>
      </c>
      <c r="R72" s="84">
        <f t="shared" si="21"/>
        <v>0</v>
      </c>
      <c r="S72" s="84">
        <f t="shared" si="21"/>
        <v>0</v>
      </c>
      <c r="T72" s="84">
        <f t="shared" si="21"/>
        <v>0</v>
      </c>
      <c r="U72" s="84">
        <f t="shared" si="21"/>
        <v>32</v>
      </c>
      <c r="V72" s="84">
        <f t="shared" si="21"/>
        <v>40</v>
      </c>
      <c r="W72" s="84">
        <f t="shared" si="21"/>
        <v>0</v>
      </c>
      <c r="X72" s="89">
        <f t="shared" si="20"/>
        <v>92</v>
      </c>
    </row>
    <row r="73" spans="1:24" x14ac:dyDescent="0.25">
      <c r="A73" s="89">
        <v>51</v>
      </c>
      <c r="B73" s="87"/>
      <c r="C73" s="87"/>
      <c r="D73" s="87"/>
      <c r="E73" s="87"/>
      <c r="F73" s="87"/>
      <c r="G73" s="87"/>
      <c r="H73" s="87"/>
      <c r="I73" s="87"/>
      <c r="J73" s="87">
        <v>10</v>
      </c>
      <c r="K73" s="87"/>
      <c r="L73" s="87"/>
      <c r="M73" s="87"/>
      <c r="N73" s="87"/>
      <c r="O73" s="87"/>
      <c r="P73" s="87"/>
      <c r="Q73" s="87">
        <v>10</v>
      </c>
      <c r="R73" s="87"/>
      <c r="S73" s="87"/>
      <c r="T73" s="87"/>
      <c r="U73" s="87">
        <f>35-3</f>
        <v>32</v>
      </c>
      <c r="V73" s="87">
        <v>40</v>
      </c>
      <c r="W73" s="87"/>
      <c r="X73" s="85">
        <f t="shared" si="20"/>
        <v>92</v>
      </c>
    </row>
    <row r="74" spans="1:24" x14ac:dyDescent="0.25">
      <c r="A74" s="89">
        <v>52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5">
        <f t="shared" si="20"/>
        <v>0</v>
      </c>
    </row>
    <row r="75" spans="1:24" s="93" customFormat="1" x14ac:dyDescent="0.25">
      <c r="A75" s="91" t="s">
        <v>5</v>
      </c>
      <c r="B75" s="91">
        <f t="shared" ref="B75:W75" si="22">B72+B70+B67+B61+B58+B47+B45+B41+B38+B35+B31+B28+B21+B18+B16+B14+B11+B9+B6+B3</f>
        <v>1071</v>
      </c>
      <c r="C75" s="91">
        <f t="shared" si="22"/>
        <v>200</v>
      </c>
      <c r="D75" s="91">
        <f t="shared" si="22"/>
        <v>20</v>
      </c>
      <c r="E75" s="91">
        <f t="shared" si="22"/>
        <v>140</v>
      </c>
      <c r="F75" s="91">
        <f t="shared" si="22"/>
        <v>84</v>
      </c>
      <c r="G75" s="91">
        <f t="shared" si="22"/>
        <v>266</v>
      </c>
      <c r="H75" s="91">
        <f t="shared" si="22"/>
        <v>417</v>
      </c>
      <c r="I75" s="91">
        <f t="shared" si="22"/>
        <v>510</v>
      </c>
      <c r="J75" s="91">
        <f t="shared" si="22"/>
        <v>1198</v>
      </c>
      <c r="K75" s="91">
        <f t="shared" si="22"/>
        <v>639</v>
      </c>
      <c r="L75" s="91">
        <f t="shared" si="22"/>
        <v>131</v>
      </c>
      <c r="M75" s="91">
        <f t="shared" si="22"/>
        <v>589</v>
      </c>
      <c r="N75" s="91">
        <f t="shared" si="22"/>
        <v>2658</v>
      </c>
      <c r="O75" s="91">
        <f t="shared" si="22"/>
        <v>240</v>
      </c>
      <c r="P75" s="91">
        <f t="shared" si="22"/>
        <v>52</v>
      </c>
      <c r="Q75" s="91">
        <f t="shared" si="22"/>
        <v>2526</v>
      </c>
      <c r="R75" s="91">
        <f t="shared" si="22"/>
        <v>216</v>
      </c>
      <c r="S75" s="91">
        <f t="shared" si="22"/>
        <v>1020</v>
      </c>
      <c r="T75" s="91">
        <f t="shared" si="22"/>
        <v>2960</v>
      </c>
      <c r="U75" s="91">
        <f t="shared" si="22"/>
        <v>916</v>
      </c>
      <c r="V75" s="92">
        <f t="shared" si="22"/>
        <v>1396</v>
      </c>
      <c r="W75" s="92">
        <f t="shared" si="22"/>
        <v>18</v>
      </c>
      <c r="X75" s="92">
        <f t="shared" si="20"/>
        <v>17267</v>
      </c>
    </row>
  </sheetData>
  <mergeCells count="1">
    <mergeCell ref="A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12" workbookViewId="0">
      <selection activeCell="C24" sqref="C24"/>
    </sheetView>
  </sheetViews>
  <sheetFormatPr defaultRowHeight="12.75" x14ac:dyDescent="0.2"/>
  <cols>
    <col min="1" max="1" width="5.42578125" style="41" customWidth="1"/>
    <col min="2" max="2" width="54.5703125" style="41" customWidth="1"/>
    <col min="3" max="3" width="13.28515625" style="41" customWidth="1"/>
    <col min="4" max="4" width="13" style="41" customWidth="1"/>
    <col min="5" max="5" width="12.85546875" style="41" customWidth="1"/>
    <col min="6" max="6" width="13" style="41" customWidth="1"/>
    <col min="7" max="16384" width="9.140625" style="41"/>
  </cols>
  <sheetData>
    <row r="1" spans="1:6" ht="18.75" customHeight="1" x14ac:dyDescent="0.2">
      <c r="A1" s="166" t="s">
        <v>351</v>
      </c>
      <c r="B1" s="166"/>
      <c r="C1" s="166"/>
      <c r="D1" s="166"/>
      <c r="E1" s="166"/>
      <c r="F1" s="166"/>
    </row>
    <row r="2" spans="1:6" ht="18.75" customHeight="1" x14ac:dyDescent="0.2">
      <c r="A2" s="166"/>
      <c r="B2" s="166"/>
      <c r="C2" s="166"/>
      <c r="D2" s="166"/>
      <c r="E2" s="166"/>
      <c r="F2" s="166"/>
    </row>
    <row r="3" spans="1:6" x14ac:dyDescent="0.2">
      <c r="A3" s="40"/>
    </row>
    <row r="4" spans="1:6" s="45" customFormat="1" x14ac:dyDescent="0.2">
      <c r="A4" s="134"/>
      <c r="E4" s="167" t="s">
        <v>352</v>
      </c>
      <c r="F4" s="167"/>
    </row>
    <row r="5" spans="1:6" s="45" customFormat="1" ht="15" customHeight="1" x14ac:dyDescent="0.2">
      <c r="A5" s="168" t="s">
        <v>10</v>
      </c>
      <c r="B5" s="168" t="s">
        <v>11</v>
      </c>
      <c r="C5" s="168" t="s">
        <v>353</v>
      </c>
      <c r="D5" s="168"/>
      <c r="E5" s="168"/>
      <c r="F5" s="168"/>
    </row>
    <row r="6" spans="1:6" s="45" customFormat="1" ht="63.75" customHeight="1" x14ac:dyDescent="0.2">
      <c r="A6" s="168"/>
      <c r="B6" s="168"/>
      <c r="C6" s="135" t="s">
        <v>354</v>
      </c>
      <c r="D6" s="135" t="s">
        <v>355</v>
      </c>
      <c r="E6" s="135" t="s">
        <v>356</v>
      </c>
      <c r="F6" s="135" t="s">
        <v>357</v>
      </c>
    </row>
    <row r="7" spans="1:6" s="45" customFormat="1" x14ac:dyDescent="0.2">
      <c r="A7" s="135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</row>
    <row r="8" spans="1:6" s="45" customFormat="1" x14ac:dyDescent="0.2">
      <c r="A8" s="135">
        <v>1</v>
      </c>
      <c r="B8" s="136" t="s">
        <v>14</v>
      </c>
      <c r="C8" s="135">
        <f>D8+F8</f>
        <v>4687</v>
      </c>
      <c r="D8" s="135">
        <f>4675+12</f>
        <v>4687</v>
      </c>
      <c r="E8" s="135"/>
      <c r="F8" s="135"/>
    </row>
    <row r="9" spans="1:6" s="45" customFormat="1" x14ac:dyDescent="0.2">
      <c r="A9" s="135">
        <v>2</v>
      </c>
      <c r="B9" s="136" t="s">
        <v>15</v>
      </c>
      <c r="C9" s="135">
        <f t="shared" ref="C9:C77" si="0">D9+F9</f>
        <v>2070</v>
      </c>
      <c r="D9" s="135">
        <f>2064+6</f>
        <v>2070</v>
      </c>
      <c r="E9" s="135"/>
      <c r="F9" s="135"/>
    </row>
    <row r="10" spans="1:6" s="45" customFormat="1" x14ac:dyDescent="0.2">
      <c r="A10" s="135">
        <v>3</v>
      </c>
      <c r="B10" s="136" t="s">
        <v>16</v>
      </c>
      <c r="C10" s="135">
        <f t="shared" si="0"/>
        <v>1283</v>
      </c>
      <c r="D10" s="135">
        <v>1283</v>
      </c>
      <c r="E10" s="135"/>
      <c r="F10" s="135"/>
    </row>
    <row r="11" spans="1:6" s="45" customFormat="1" x14ac:dyDescent="0.2">
      <c r="A11" s="135">
        <v>4</v>
      </c>
      <c r="B11" s="136" t="s">
        <v>17</v>
      </c>
      <c r="C11" s="135">
        <f t="shared" si="0"/>
        <v>797</v>
      </c>
      <c r="D11" s="135">
        <f>792+5</f>
        <v>797</v>
      </c>
      <c r="E11" s="135"/>
      <c r="F11" s="135"/>
    </row>
    <row r="12" spans="1:6" s="45" customFormat="1" x14ac:dyDescent="0.2">
      <c r="A12" s="135">
        <v>5</v>
      </c>
      <c r="B12" s="136" t="s">
        <v>18</v>
      </c>
      <c r="C12" s="135">
        <f t="shared" si="0"/>
        <v>1503</v>
      </c>
      <c r="D12" s="135">
        <f>1497+6</f>
        <v>1503</v>
      </c>
      <c r="E12" s="135"/>
      <c r="F12" s="135"/>
    </row>
    <row r="13" spans="1:6" s="45" customFormat="1" x14ac:dyDescent="0.2">
      <c r="A13" s="135">
        <v>6</v>
      </c>
      <c r="B13" s="136" t="s">
        <v>19</v>
      </c>
      <c r="C13" s="135">
        <f t="shared" si="0"/>
        <v>2264</v>
      </c>
      <c r="D13" s="135">
        <f>2295-31</f>
        <v>2264</v>
      </c>
      <c r="E13" s="135"/>
      <c r="F13" s="135"/>
    </row>
    <row r="14" spans="1:6" s="45" customFormat="1" x14ac:dyDescent="0.2">
      <c r="A14" s="135">
        <v>7</v>
      </c>
      <c r="B14" s="136" t="s">
        <v>20</v>
      </c>
      <c r="C14" s="135">
        <f t="shared" si="0"/>
        <v>5332</v>
      </c>
      <c r="D14" s="135">
        <f>5309+23</f>
        <v>5332</v>
      </c>
      <c r="E14" s="135"/>
      <c r="F14" s="135"/>
    </row>
    <row r="15" spans="1:6" s="45" customFormat="1" x14ac:dyDescent="0.2">
      <c r="A15" s="135">
        <v>8</v>
      </c>
      <c r="B15" s="136" t="s">
        <v>21</v>
      </c>
      <c r="C15" s="135">
        <f t="shared" si="0"/>
        <v>3763</v>
      </c>
      <c r="D15" s="135">
        <v>3763</v>
      </c>
      <c r="E15" s="135"/>
      <c r="F15" s="135"/>
    </row>
    <row r="16" spans="1:6" s="45" customFormat="1" x14ac:dyDescent="0.2">
      <c r="A16" s="135">
        <v>9</v>
      </c>
      <c r="B16" s="136" t="s">
        <v>22</v>
      </c>
      <c r="C16" s="135">
        <f t="shared" si="0"/>
        <v>2191</v>
      </c>
      <c r="D16" s="135">
        <f>2183+8</f>
        <v>2191</v>
      </c>
      <c r="E16" s="135"/>
      <c r="F16" s="135"/>
    </row>
    <row r="17" spans="1:6" s="45" customFormat="1" x14ac:dyDescent="0.2">
      <c r="A17" s="135">
        <v>10</v>
      </c>
      <c r="B17" s="136" t="s">
        <v>23</v>
      </c>
      <c r="C17" s="135">
        <f t="shared" si="0"/>
        <v>945</v>
      </c>
      <c r="D17" s="135">
        <f>941+4</f>
        <v>945</v>
      </c>
      <c r="E17" s="135"/>
      <c r="F17" s="135"/>
    </row>
    <row r="18" spans="1:6" s="45" customFormat="1" x14ac:dyDescent="0.2">
      <c r="A18" s="135">
        <v>11</v>
      </c>
      <c r="B18" s="136" t="s">
        <v>24</v>
      </c>
      <c r="C18" s="135">
        <f t="shared" si="0"/>
        <v>912</v>
      </c>
      <c r="D18" s="135">
        <f>908+4</f>
        <v>912</v>
      </c>
      <c r="E18" s="135"/>
      <c r="F18" s="135"/>
    </row>
    <row r="19" spans="1:6" s="45" customFormat="1" x14ac:dyDescent="0.2">
      <c r="A19" s="135">
        <v>12</v>
      </c>
      <c r="B19" s="136" t="s">
        <v>25</v>
      </c>
      <c r="C19" s="135">
        <f t="shared" si="0"/>
        <v>2926</v>
      </c>
      <c r="D19" s="135">
        <f>2968-42</f>
        <v>2926</v>
      </c>
      <c r="E19" s="135"/>
      <c r="F19" s="135"/>
    </row>
    <row r="20" spans="1:6" s="45" customFormat="1" x14ac:dyDescent="0.2">
      <c r="A20" s="135">
        <v>13</v>
      </c>
      <c r="B20" s="136" t="s">
        <v>26</v>
      </c>
      <c r="C20" s="135">
        <f t="shared" si="0"/>
        <v>3074</v>
      </c>
      <c r="D20" s="135">
        <f>3138-64</f>
        <v>3074</v>
      </c>
      <c r="E20" s="135"/>
      <c r="F20" s="135"/>
    </row>
    <row r="21" spans="1:6" s="45" customFormat="1" x14ac:dyDescent="0.2">
      <c r="A21" s="135">
        <v>14</v>
      </c>
      <c r="B21" s="136" t="s">
        <v>27</v>
      </c>
      <c r="C21" s="135">
        <f t="shared" si="0"/>
        <v>7050</v>
      </c>
      <c r="D21" s="135">
        <f>7047+3</f>
        <v>7050</v>
      </c>
      <c r="E21" s="135"/>
      <c r="F21" s="135"/>
    </row>
    <row r="22" spans="1:6" s="139" customFormat="1" ht="25.5" x14ac:dyDescent="0.2">
      <c r="A22" s="135">
        <v>15</v>
      </c>
      <c r="B22" s="137" t="s">
        <v>28</v>
      </c>
      <c r="C22" s="138">
        <f t="shared" si="0"/>
        <v>909</v>
      </c>
      <c r="D22" s="138">
        <f>905+4</f>
        <v>909</v>
      </c>
      <c r="E22" s="138"/>
      <c r="F22" s="138"/>
    </row>
    <row r="23" spans="1:6" s="45" customFormat="1" x14ac:dyDescent="0.2">
      <c r="A23" s="135">
        <v>16</v>
      </c>
      <c r="B23" s="136" t="s">
        <v>29</v>
      </c>
      <c r="C23" s="135">
        <f t="shared" si="0"/>
        <v>2365</v>
      </c>
      <c r="D23" s="135">
        <f>2374-9</f>
        <v>2365</v>
      </c>
      <c r="E23" s="135"/>
      <c r="F23" s="135"/>
    </row>
    <row r="24" spans="1:6" s="45" customFormat="1" x14ac:dyDescent="0.2">
      <c r="A24" s="135">
        <v>17</v>
      </c>
      <c r="B24" s="136" t="s">
        <v>30</v>
      </c>
      <c r="C24" s="135">
        <f t="shared" si="0"/>
        <v>1110</v>
      </c>
      <c r="D24" s="135">
        <v>1110</v>
      </c>
      <c r="E24" s="135"/>
      <c r="F24" s="135"/>
    </row>
    <row r="25" spans="1:6" s="45" customFormat="1" x14ac:dyDescent="0.2">
      <c r="A25" s="135">
        <v>18</v>
      </c>
      <c r="B25" s="136" t="s">
        <v>31</v>
      </c>
      <c r="C25" s="135">
        <f t="shared" si="0"/>
        <v>1072</v>
      </c>
      <c r="D25" s="135">
        <f>1073-1</f>
        <v>1072</v>
      </c>
      <c r="E25" s="135"/>
      <c r="F25" s="135"/>
    </row>
    <row r="26" spans="1:6" s="45" customFormat="1" x14ac:dyDescent="0.2">
      <c r="A26" s="135">
        <v>19</v>
      </c>
      <c r="B26" s="136" t="s">
        <v>32</v>
      </c>
      <c r="C26" s="135">
        <f t="shared" si="0"/>
        <v>1230</v>
      </c>
      <c r="D26" s="135">
        <f>1229+1</f>
        <v>1230</v>
      </c>
      <c r="E26" s="135"/>
      <c r="F26" s="135"/>
    </row>
    <row r="27" spans="1:6" s="45" customFormat="1" x14ac:dyDescent="0.2">
      <c r="A27" s="135">
        <v>20</v>
      </c>
      <c r="B27" s="136" t="s">
        <v>33</v>
      </c>
      <c r="C27" s="135">
        <f t="shared" si="0"/>
        <v>1254</v>
      </c>
      <c r="D27" s="135">
        <v>1254</v>
      </c>
      <c r="E27" s="135"/>
      <c r="F27" s="135"/>
    </row>
    <row r="28" spans="1:6" s="45" customFormat="1" x14ac:dyDescent="0.2">
      <c r="A28" s="135">
        <v>21</v>
      </c>
      <c r="B28" s="136" t="s">
        <v>34</v>
      </c>
      <c r="C28" s="135">
        <f t="shared" si="0"/>
        <v>1401</v>
      </c>
      <c r="D28" s="135">
        <f>1395+6</f>
        <v>1401</v>
      </c>
      <c r="E28" s="135"/>
      <c r="F28" s="135"/>
    </row>
    <row r="29" spans="1:6" s="45" customFormat="1" x14ac:dyDescent="0.2">
      <c r="A29" s="135">
        <v>22</v>
      </c>
      <c r="B29" s="136" t="s">
        <v>35</v>
      </c>
      <c r="C29" s="135">
        <f t="shared" si="0"/>
        <v>1309</v>
      </c>
      <c r="D29" s="135">
        <v>1309</v>
      </c>
      <c r="E29" s="135"/>
      <c r="F29" s="135"/>
    </row>
    <row r="30" spans="1:6" s="45" customFormat="1" x14ac:dyDescent="0.2">
      <c r="A30" s="135">
        <v>23</v>
      </c>
      <c r="B30" s="136" t="s">
        <v>36</v>
      </c>
      <c r="C30" s="135">
        <f t="shared" si="0"/>
        <v>1407</v>
      </c>
      <c r="D30" s="135">
        <f>1401+6</f>
        <v>1407</v>
      </c>
      <c r="E30" s="135"/>
      <c r="F30" s="135"/>
    </row>
    <row r="31" spans="1:6" s="45" customFormat="1" x14ac:dyDescent="0.2">
      <c r="A31" s="135">
        <v>24</v>
      </c>
      <c r="B31" s="136" t="s">
        <v>37</v>
      </c>
      <c r="C31" s="135">
        <f t="shared" si="0"/>
        <v>1291</v>
      </c>
      <c r="D31" s="135">
        <f>1300-9</f>
        <v>1291</v>
      </c>
      <c r="E31" s="135"/>
      <c r="F31" s="135"/>
    </row>
    <row r="32" spans="1:6" s="45" customFormat="1" x14ac:dyDescent="0.2">
      <c r="A32" s="135">
        <v>25</v>
      </c>
      <c r="B32" s="136" t="s">
        <v>1</v>
      </c>
      <c r="C32" s="135">
        <f t="shared" si="0"/>
        <v>1501</v>
      </c>
      <c r="D32" s="135">
        <v>1501</v>
      </c>
      <c r="E32" s="135"/>
      <c r="F32" s="135"/>
    </row>
    <row r="33" spans="1:6" s="45" customFormat="1" x14ac:dyDescent="0.2">
      <c r="A33" s="135">
        <v>26</v>
      </c>
      <c r="B33" s="136" t="s">
        <v>38</v>
      </c>
      <c r="C33" s="135">
        <f t="shared" si="0"/>
        <v>980</v>
      </c>
      <c r="D33" s="135">
        <f>993-13</f>
        <v>980</v>
      </c>
      <c r="E33" s="135"/>
      <c r="F33" s="135"/>
    </row>
    <row r="34" spans="1:6" s="45" customFormat="1" x14ac:dyDescent="0.2">
      <c r="A34" s="135">
        <v>27</v>
      </c>
      <c r="B34" s="136" t="s">
        <v>39</v>
      </c>
      <c r="C34" s="135">
        <f t="shared" si="0"/>
        <v>1164</v>
      </c>
      <c r="D34" s="135">
        <f>1191-27</f>
        <v>1164</v>
      </c>
      <c r="E34" s="135"/>
      <c r="F34" s="135"/>
    </row>
    <row r="35" spans="1:6" s="45" customFormat="1" x14ac:dyDescent="0.2">
      <c r="A35" s="135">
        <v>28</v>
      </c>
      <c r="B35" s="136" t="s">
        <v>40</v>
      </c>
      <c r="C35" s="135">
        <f t="shared" si="0"/>
        <v>936</v>
      </c>
      <c r="D35" s="135">
        <v>936</v>
      </c>
      <c r="E35" s="135"/>
      <c r="F35" s="135"/>
    </row>
    <row r="36" spans="1:6" s="45" customFormat="1" x14ac:dyDescent="0.2">
      <c r="A36" s="135">
        <v>29</v>
      </c>
      <c r="B36" s="136" t="s">
        <v>41</v>
      </c>
      <c r="C36" s="135">
        <f t="shared" si="0"/>
        <v>1361</v>
      </c>
      <c r="D36" s="135">
        <f>1383-22</f>
        <v>1361</v>
      </c>
      <c r="E36" s="135"/>
      <c r="F36" s="135"/>
    </row>
    <row r="37" spans="1:6" s="45" customFormat="1" x14ac:dyDescent="0.2">
      <c r="A37" s="135">
        <v>30</v>
      </c>
      <c r="B37" s="136" t="s">
        <v>42</v>
      </c>
      <c r="C37" s="135">
        <f t="shared" si="0"/>
        <v>3037</v>
      </c>
      <c r="D37" s="135">
        <f>3057-20</f>
        <v>3037</v>
      </c>
      <c r="E37" s="135"/>
      <c r="F37" s="135"/>
    </row>
    <row r="38" spans="1:6" s="45" customFormat="1" x14ac:dyDescent="0.2">
      <c r="A38" s="135">
        <v>31</v>
      </c>
      <c r="B38" s="136" t="s">
        <v>43</v>
      </c>
      <c r="C38" s="135">
        <f t="shared" si="0"/>
        <v>3037</v>
      </c>
      <c r="D38" s="135">
        <f>3053-16</f>
        <v>3037</v>
      </c>
      <c r="E38" s="135"/>
      <c r="F38" s="135"/>
    </row>
    <row r="39" spans="1:6" s="45" customFormat="1" x14ac:dyDescent="0.2">
      <c r="A39" s="135">
        <v>32</v>
      </c>
      <c r="B39" s="136" t="s">
        <v>44</v>
      </c>
      <c r="C39" s="135">
        <f t="shared" si="0"/>
        <v>1624</v>
      </c>
      <c r="D39" s="135">
        <f>1644-20</f>
        <v>1624</v>
      </c>
      <c r="E39" s="135"/>
      <c r="F39" s="135"/>
    </row>
    <row r="40" spans="1:6" s="45" customFormat="1" x14ac:dyDescent="0.2">
      <c r="A40" s="135">
        <v>33</v>
      </c>
      <c r="B40" s="136" t="s">
        <v>45</v>
      </c>
      <c r="C40" s="135">
        <f t="shared" si="0"/>
        <v>761</v>
      </c>
      <c r="D40" s="135">
        <f>807-46</f>
        <v>761</v>
      </c>
      <c r="E40" s="135"/>
      <c r="F40" s="135"/>
    </row>
    <row r="41" spans="1:6" s="45" customFormat="1" x14ac:dyDescent="0.2">
      <c r="A41" s="135">
        <v>34</v>
      </c>
      <c r="B41" s="136" t="s">
        <v>46</v>
      </c>
      <c r="C41" s="135">
        <f t="shared" si="0"/>
        <v>2648</v>
      </c>
      <c r="D41" s="135">
        <f>2659-20+9</f>
        <v>2648</v>
      </c>
      <c r="E41" s="135"/>
      <c r="F41" s="135"/>
    </row>
    <row r="42" spans="1:6" s="45" customFormat="1" x14ac:dyDescent="0.2">
      <c r="A42" s="135">
        <v>35</v>
      </c>
      <c r="B42" s="136" t="s">
        <v>252</v>
      </c>
      <c r="C42" s="135">
        <f t="shared" si="0"/>
        <v>2946</v>
      </c>
      <c r="D42" s="135">
        <f>2967-22+1</f>
        <v>2946</v>
      </c>
      <c r="E42" s="135"/>
      <c r="F42" s="135"/>
    </row>
    <row r="43" spans="1:6" s="45" customFormat="1" x14ac:dyDescent="0.2">
      <c r="A43" s="135">
        <v>36</v>
      </c>
      <c r="B43" s="136" t="s">
        <v>47</v>
      </c>
      <c r="C43" s="135">
        <f t="shared" si="0"/>
        <v>3063</v>
      </c>
      <c r="D43" s="135">
        <f>3078-23+8</f>
        <v>3063</v>
      </c>
      <c r="E43" s="135"/>
      <c r="F43" s="135"/>
    </row>
    <row r="44" spans="1:6" s="45" customFormat="1" x14ac:dyDescent="0.2">
      <c r="A44" s="135">
        <v>37</v>
      </c>
      <c r="B44" s="136" t="s">
        <v>253</v>
      </c>
      <c r="C44" s="135">
        <f t="shared" si="0"/>
        <v>1556</v>
      </c>
      <c r="D44" s="135">
        <f>1563-12+5</f>
        <v>1556</v>
      </c>
      <c r="E44" s="135"/>
      <c r="F44" s="135"/>
    </row>
    <row r="45" spans="1:6" s="139" customFormat="1" ht="24.75" customHeight="1" x14ac:dyDescent="0.2">
      <c r="A45" s="135">
        <v>38</v>
      </c>
      <c r="B45" s="140" t="s">
        <v>254</v>
      </c>
      <c r="C45" s="138">
        <f t="shared" si="0"/>
        <v>2079</v>
      </c>
      <c r="D45" s="138">
        <f>2072+7</f>
        <v>2079</v>
      </c>
      <c r="E45" s="138"/>
      <c r="F45" s="138"/>
    </row>
    <row r="46" spans="1:6" s="45" customFormat="1" x14ac:dyDescent="0.2">
      <c r="A46" s="135">
        <v>39</v>
      </c>
      <c r="B46" s="141" t="s">
        <v>101</v>
      </c>
      <c r="C46" s="135">
        <f t="shared" si="0"/>
        <v>247</v>
      </c>
      <c r="D46" s="135">
        <f>165+80+2</f>
        <v>247</v>
      </c>
      <c r="E46" s="135"/>
      <c r="F46" s="135"/>
    </row>
    <row r="47" spans="1:6" s="45" customFormat="1" x14ac:dyDescent="0.2">
      <c r="A47" s="135">
        <v>40</v>
      </c>
      <c r="B47" s="136" t="s">
        <v>48</v>
      </c>
      <c r="C47" s="135">
        <f t="shared" si="0"/>
        <v>1826</v>
      </c>
      <c r="D47" s="135">
        <f>1820+6</f>
        <v>1826</v>
      </c>
      <c r="E47" s="135"/>
      <c r="F47" s="135"/>
    </row>
    <row r="48" spans="1:6" s="45" customFormat="1" x14ac:dyDescent="0.2">
      <c r="A48" s="135">
        <v>41</v>
      </c>
      <c r="B48" s="136" t="s">
        <v>49</v>
      </c>
      <c r="C48" s="135">
        <f t="shared" si="0"/>
        <v>294</v>
      </c>
      <c r="D48" s="135">
        <v>294</v>
      </c>
      <c r="E48" s="135"/>
      <c r="F48" s="135"/>
    </row>
    <row r="49" spans="1:6" s="45" customFormat="1" ht="12.75" customHeight="1" x14ac:dyDescent="0.2">
      <c r="A49" s="135">
        <v>42</v>
      </c>
      <c r="B49" s="141" t="s">
        <v>102</v>
      </c>
      <c r="C49" s="135">
        <f t="shared" si="0"/>
        <v>346</v>
      </c>
      <c r="D49" s="135">
        <f>348-3+1</f>
        <v>346</v>
      </c>
      <c r="E49" s="135"/>
      <c r="F49" s="135"/>
    </row>
    <row r="50" spans="1:6" s="45" customFormat="1" x14ac:dyDescent="0.2">
      <c r="A50" s="135">
        <v>43</v>
      </c>
      <c r="B50" s="141" t="s">
        <v>358</v>
      </c>
      <c r="C50" s="135">
        <f t="shared" si="0"/>
        <v>360</v>
      </c>
      <c r="D50" s="135">
        <v>360</v>
      </c>
      <c r="E50" s="135"/>
      <c r="F50" s="135"/>
    </row>
    <row r="51" spans="1:6" s="45" customFormat="1" x14ac:dyDescent="0.2">
      <c r="A51" s="135">
        <v>44</v>
      </c>
      <c r="B51" s="136" t="s">
        <v>50</v>
      </c>
      <c r="C51" s="135">
        <f t="shared" si="0"/>
        <v>4341</v>
      </c>
      <c r="D51" s="135">
        <f>4516-175</f>
        <v>4341</v>
      </c>
      <c r="E51" s="135"/>
      <c r="F51" s="135"/>
    </row>
    <row r="52" spans="1:6" s="45" customFormat="1" x14ac:dyDescent="0.2">
      <c r="A52" s="135">
        <v>45</v>
      </c>
      <c r="B52" s="136" t="s">
        <v>51</v>
      </c>
      <c r="C52" s="135">
        <f t="shared" si="0"/>
        <v>3258</v>
      </c>
      <c r="D52" s="135">
        <f>3331-73</f>
        <v>3258</v>
      </c>
      <c r="E52" s="135"/>
      <c r="F52" s="135"/>
    </row>
    <row r="53" spans="1:6" s="139" customFormat="1" ht="25.5" x14ac:dyDescent="0.2">
      <c r="A53" s="135">
        <v>46</v>
      </c>
      <c r="B53" s="140" t="s">
        <v>103</v>
      </c>
      <c r="C53" s="63">
        <f t="shared" si="0"/>
        <v>1225</v>
      </c>
      <c r="D53" s="138">
        <v>1225</v>
      </c>
      <c r="E53" s="138"/>
      <c r="F53" s="138"/>
    </row>
    <row r="54" spans="1:6" s="45" customFormat="1" x14ac:dyDescent="0.2">
      <c r="A54" s="135">
        <v>47</v>
      </c>
      <c r="B54" s="136" t="s">
        <v>53</v>
      </c>
      <c r="C54" s="135">
        <f t="shared" si="0"/>
        <v>4323</v>
      </c>
      <c r="D54" s="135">
        <f>4309+14</f>
        <v>4323</v>
      </c>
      <c r="E54" s="135"/>
      <c r="F54" s="135"/>
    </row>
    <row r="55" spans="1:6" s="45" customFormat="1" x14ac:dyDescent="0.2">
      <c r="A55" s="135">
        <v>48</v>
      </c>
      <c r="B55" s="136" t="s">
        <v>54</v>
      </c>
      <c r="C55" s="135">
        <f t="shared" si="0"/>
        <v>4066</v>
      </c>
      <c r="D55" s="135">
        <f>4774-750+42</f>
        <v>4066</v>
      </c>
      <c r="E55" s="135"/>
      <c r="F55" s="135"/>
    </row>
    <row r="56" spans="1:6" s="139" customFormat="1" ht="23.25" customHeight="1" x14ac:dyDescent="0.2">
      <c r="A56" s="135">
        <v>49</v>
      </c>
      <c r="B56" s="140" t="s">
        <v>55</v>
      </c>
      <c r="C56" s="138">
        <f t="shared" si="0"/>
        <v>1404</v>
      </c>
      <c r="D56" s="138">
        <f>1402+2</f>
        <v>1404</v>
      </c>
      <c r="E56" s="138"/>
      <c r="F56" s="138"/>
    </row>
    <row r="57" spans="1:6" s="139" customFormat="1" ht="12" customHeight="1" x14ac:dyDescent="0.2">
      <c r="A57" s="135">
        <v>50</v>
      </c>
      <c r="B57" s="140" t="s">
        <v>56</v>
      </c>
      <c r="C57" s="138">
        <f t="shared" si="0"/>
        <v>747</v>
      </c>
      <c r="D57" s="138">
        <f>750-3</f>
        <v>747</v>
      </c>
      <c r="E57" s="138"/>
      <c r="F57" s="138"/>
    </row>
    <row r="58" spans="1:6" s="45" customFormat="1" x14ac:dyDescent="0.2">
      <c r="A58" s="135">
        <v>51</v>
      </c>
      <c r="B58" s="136" t="s">
        <v>57</v>
      </c>
      <c r="C58" s="135">
        <f t="shared" si="0"/>
        <v>205</v>
      </c>
      <c r="D58" s="135">
        <f>207-2</f>
        <v>205</v>
      </c>
      <c r="E58" s="135"/>
      <c r="F58" s="135"/>
    </row>
    <row r="59" spans="1:6" s="45" customFormat="1" x14ac:dyDescent="0.2">
      <c r="A59" s="135">
        <v>52</v>
      </c>
      <c r="B59" s="136" t="s">
        <v>58</v>
      </c>
      <c r="C59" s="135">
        <f t="shared" si="0"/>
        <v>1444</v>
      </c>
      <c r="D59" s="135">
        <f>1475-31</f>
        <v>1444</v>
      </c>
      <c r="E59" s="135"/>
      <c r="F59" s="135"/>
    </row>
    <row r="60" spans="1:6" s="45" customFormat="1" x14ac:dyDescent="0.2">
      <c r="A60" s="135">
        <v>53</v>
      </c>
      <c r="B60" s="136" t="s">
        <v>59</v>
      </c>
      <c r="C60" s="135">
        <f t="shared" si="0"/>
        <v>1761</v>
      </c>
      <c r="D60" s="135">
        <f>1803-42</f>
        <v>1761</v>
      </c>
      <c r="E60" s="135"/>
      <c r="F60" s="135"/>
    </row>
    <row r="61" spans="1:6" s="45" customFormat="1" x14ac:dyDescent="0.2">
      <c r="A61" s="135">
        <v>54</v>
      </c>
      <c r="B61" s="136" t="s">
        <v>60</v>
      </c>
      <c r="C61" s="135">
        <f t="shared" si="0"/>
        <v>1640</v>
      </c>
      <c r="D61" s="135">
        <f>1647-7</f>
        <v>1640</v>
      </c>
      <c r="E61" s="135"/>
      <c r="F61" s="135"/>
    </row>
    <row r="62" spans="1:6" s="45" customFormat="1" x14ac:dyDescent="0.2">
      <c r="A62" s="135">
        <v>55</v>
      </c>
      <c r="B62" s="136" t="s">
        <v>61</v>
      </c>
      <c r="C62" s="135">
        <f t="shared" si="0"/>
        <v>1061</v>
      </c>
      <c r="D62" s="135">
        <f>1056+5</f>
        <v>1061</v>
      </c>
      <c r="E62" s="135"/>
      <c r="F62" s="135"/>
    </row>
    <row r="63" spans="1:6" s="45" customFormat="1" x14ac:dyDescent="0.2">
      <c r="A63" s="135">
        <v>56</v>
      </c>
      <c r="B63" s="136" t="s">
        <v>62</v>
      </c>
      <c r="C63" s="135">
        <f t="shared" si="0"/>
        <v>1830</v>
      </c>
      <c r="D63" s="135">
        <f>1834-4</f>
        <v>1830</v>
      </c>
      <c r="E63" s="135"/>
      <c r="F63" s="135"/>
    </row>
    <row r="64" spans="1:6" s="45" customFormat="1" x14ac:dyDescent="0.2">
      <c r="A64" s="135">
        <v>57</v>
      </c>
      <c r="B64" s="136" t="s">
        <v>63</v>
      </c>
      <c r="C64" s="135">
        <f t="shared" si="0"/>
        <v>877</v>
      </c>
      <c r="D64" s="135">
        <v>877</v>
      </c>
      <c r="E64" s="135"/>
      <c r="F64" s="135"/>
    </row>
    <row r="65" spans="1:6" s="45" customFormat="1" x14ac:dyDescent="0.2">
      <c r="A65" s="135">
        <v>58</v>
      </c>
      <c r="B65" s="136" t="s">
        <v>339</v>
      </c>
      <c r="C65" s="135">
        <f t="shared" si="0"/>
        <v>160</v>
      </c>
      <c r="D65" s="135">
        <f>230-70</f>
        <v>160</v>
      </c>
      <c r="E65" s="135"/>
      <c r="F65" s="135"/>
    </row>
    <row r="66" spans="1:6" s="45" customFormat="1" x14ac:dyDescent="0.2">
      <c r="A66" s="135">
        <v>59</v>
      </c>
      <c r="B66" s="136" t="s">
        <v>64</v>
      </c>
      <c r="C66" s="135">
        <f t="shared" si="0"/>
        <v>6550</v>
      </c>
      <c r="D66" s="135">
        <f>6546+4</f>
        <v>6550</v>
      </c>
      <c r="E66" s="135"/>
      <c r="F66" s="135"/>
    </row>
    <row r="67" spans="1:6" s="45" customFormat="1" x14ac:dyDescent="0.2">
      <c r="A67" s="135">
        <v>60</v>
      </c>
      <c r="B67" s="136" t="s">
        <v>65</v>
      </c>
      <c r="C67" s="135">
        <f t="shared" si="0"/>
        <v>5399</v>
      </c>
      <c r="D67" s="135">
        <f>5402-3</f>
        <v>5399</v>
      </c>
      <c r="E67" s="135"/>
      <c r="F67" s="135"/>
    </row>
    <row r="68" spans="1:6" s="45" customFormat="1" x14ac:dyDescent="0.2">
      <c r="A68" s="135">
        <v>61</v>
      </c>
      <c r="B68" s="136" t="s">
        <v>66</v>
      </c>
      <c r="C68" s="135">
        <f t="shared" si="0"/>
        <v>1495</v>
      </c>
      <c r="D68" s="135">
        <v>1495</v>
      </c>
      <c r="E68" s="135"/>
      <c r="F68" s="135"/>
    </row>
    <row r="69" spans="1:6" s="45" customFormat="1" x14ac:dyDescent="0.2">
      <c r="A69" s="135">
        <v>62</v>
      </c>
      <c r="B69" s="136" t="s">
        <v>67</v>
      </c>
      <c r="C69" s="135">
        <f t="shared" si="0"/>
        <v>1721</v>
      </c>
      <c r="D69" s="63">
        <f>1722-1</f>
        <v>1721</v>
      </c>
      <c r="E69" s="135"/>
      <c r="F69" s="135"/>
    </row>
    <row r="70" spans="1:6" s="45" customFormat="1" x14ac:dyDescent="0.2">
      <c r="A70" s="135">
        <v>63</v>
      </c>
      <c r="B70" s="136" t="s">
        <v>68</v>
      </c>
      <c r="C70" s="135">
        <f t="shared" si="0"/>
        <v>1269</v>
      </c>
      <c r="D70" s="135">
        <f>1169+105-5</f>
        <v>1269</v>
      </c>
      <c r="E70" s="135"/>
      <c r="F70" s="135"/>
    </row>
    <row r="71" spans="1:6" s="45" customFormat="1" x14ac:dyDescent="0.2">
      <c r="A71" s="135">
        <v>64</v>
      </c>
      <c r="B71" s="136" t="s">
        <v>104</v>
      </c>
      <c r="C71" s="135">
        <f t="shared" si="0"/>
        <v>1878</v>
      </c>
      <c r="D71" s="135">
        <f>1880-1-1</f>
        <v>1878</v>
      </c>
      <c r="E71" s="135"/>
      <c r="F71" s="135"/>
    </row>
    <row r="72" spans="1:6" s="45" customFormat="1" x14ac:dyDescent="0.2">
      <c r="A72" s="135">
        <v>65</v>
      </c>
      <c r="B72" s="136" t="s">
        <v>105</v>
      </c>
      <c r="C72" s="135">
        <f t="shared" si="0"/>
        <v>1595</v>
      </c>
      <c r="D72" s="135">
        <f>1593+2</f>
        <v>1595</v>
      </c>
      <c r="E72" s="135"/>
      <c r="F72" s="135"/>
    </row>
    <row r="73" spans="1:6" s="45" customFormat="1" x14ac:dyDescent="0.2">
      <c r="A73" s="135">
        <v>66</v>
      </c>
      <c r="B73" s="136" t="s">
        <v>106</v>
      </c>
      <c r="C73" s="135">
        <f t="shared" si="0"/>
        <v>2159</v>
      </c>
      <c r="D73" s="135">
        <f>2152+7</f>
        <v>2159</v>
      </c>
      <c r="E73" s="135"/>
      <c r="F73" s="135"/>
    </row>
    <row r="74" spans="1:6" s="45" customFormat="1" x14ac:dyDescent="0.2">
      <c r="A74" s="135">
        <v>67</v>
      </c>
      <c r="B74" s="136" t="s">
        <v>107</v>
      </c>
      <c r="C74" s="135">
        <f t="shared" si="0"/>
        <v>2676</v>
      </c>
      <c r="D74" s="135">
        <f>2672-1-2-1+8</f>
        <v>2676</v>
      </c>
      <c r="E74" s="135"/>
      <c r="F74" s="135"/>
    </row>
    <row r="75" spans="1:6" s="45" customFormat="1" x14ac:dyDescent="0.2">
      <c r="A75" s="135">
        <v>68</v>
      </c>
      <c r="B75" s="136" t="s">
        <v>359</v>
      </c>
      <c r="C75" s="135">
        <f t="shared" si="0"/>
        <v>974</v>
      </c>
      <c r="D75" s="135">
        <v>974</v>
      </c>
      <c r="E75" s="135"/>
      <c r="F75" s="135"/>
    </row>
    <row r="76" spans="1:6" s="45" customFormat="1" x14ac:dyDescent="0.2">
      <c r="A76" s="135">
        <v>69</v>
      </c>
      <c r="B76" s="136" t="s">
        <v>108</v>
      </c>
      <c r="C76" s="135">
        <f t="shared" si="0"/>
        <v>3318</v>
      </c>
      <c r="D76" s="135">
        <f>3305+13</f>
        <v>3318</v>
      </c>
      <c r="E76" s="135"/>
      <c r="F76" s="135"/>
    </row>
    <row r="77" spans="1:6" s="45" customFormat="1" x14ac:dyDescent="0.2">
      <c r="A77" s="135">
        <v>70</v>
      </c>
      <c r="B77" s="136" t="s">
        <v>109</v>
      </c>
      <c r="C77" s="135">
        <f t="shared" si="0"/>
        <v>1795</v>
      </c>
      <c r="D77" s="135">
        <f>1794+1</f>
        <v>1795</v>
      </c>
      <c r="E77" s="135"/>
      <c r="F77" s="135"/>
    </row>
    <row r="78" spans="1:6" s="45" customFormat="1" x14ac:dyDescent="0.2">
      <c r="A78" s="135">
        <v>71</v>
      </c>
      <c r="B78" s="136" t="s">
        <v>110</v>
      </c>
      <c r="C78" s="135">
        <f t="shared" ref="C78:C133" si="1">D78+F78</f>
        <v>1724</v>
      </c>
      <c r="D78" s="135">
        <f>1721+3</f>
        <v>1724</v>
      </c>
      <c r="E78" s="135"/>
      <c r="F78" s="135"/>
    </row>
    <row r="79" spans="1:6" s="45" customFormat="1" x14ac:dyDescent="0.2">
      <c r="A79" s="135">
        <v>72</v>
      </c>
      <c r="B79" s="136" t="s">
        <v>111</v>
      </c>
      <c r="C79" s="135">
        <f t="shared" si="1"/>
        <v>1288</v>
      </c>
      <c r="D79" s="135">
        <f>1289-1</f>
        <v>1288</v>
      </c>
      <c r="E79" s="135"/>
      <c r="F79" s="135"/>
    </row>
    <row r="80" spans="1:6" s="45" customFormat="1" x14ac:dyDescent="0.2">
      <c r="A80" s="135">
        <v>73</v>
      </c>
      <c r="B80" s="136" t="s">
        <v>112</v>
      </c>
      <c r="C80" s="135">
        <f t="shared" si="1"/>
        <v>3769</v>
      </c>
      <c r="D80" s="135">
        <f>3769</f>
        <v>3769</v>
      </c>
      <c r="E80" s="135"/>
      <c r="F80" s="135"/>
    </row>
    <row r="81" spans="1:6" s="45" customFormat="1" x14ac:dyDescent="0.2">
      <c r="A81" s="135">
        <v>74</v>
      </c>
      <c r="B81" s="136" t="s">
        <v>113</v>
      </c>
      <c r="C81" s="135">
        <f t="shared" si="1"/>
        <v>2038</v>
      </c>
      <c r="D81" s="135">
        <f>2032+6</f>
        <v>2038</v>
      </c>
      <c r="E81" s="135"/>
      <c r="F81" s="135"/>
    </row>
    <row r="82" spans="1:6" s="45" customFormat="1" x14ac:dyDescent="0.2">
      <c r="A82" s="135">
        <v>75</v>
      </c>
      <c r="B82" s="136" t="s">
        <v>114</v>
      </c>
      <c r="C82" s="135">
        <f t="shared" si="1"/>
        <v>2053</v>
      </c>
      <c r="D82" s="135">
        <f>2063-14+4</f>
        <v>2053</v>
      </c>
      <c r="E82" s="135"/>
      <c r="F82" s="135"/>
    </row>
    <row r="83" spans="1:6" s="45" customFormat="1" x14ac:dyDescent="0.2">
      <c r="A83" s="135">
        <v>76</v>
      </c>
      <c r="B83" s="136" t="s">
        <v>115</v>
      </c>
      <c r="C83" s="135">
        <f t="shared" si="1"/>
        <v>1249</v>
      </c>
      <c r="D83" s="135">
        <v>1249</v>
      </c>
      <c r="E83" s="135"/>
      <c r="F83" s="135"/>
    </row>
    <row r="84" spans="1:6" s="45" customFormat="1" x14ac:dyDescent="0.2">
      <c r="A84" s="135">
        <v>77</v>
      </c>
      <c r="B84" s="136" t="s">
        <v>116</v>
      </c>
      <c r="C84" s="135">
        <f t="shared" si="1"/>
        <v>4094</v>
      </c>
      <c r="D84" s="135">
        <f>4078+16</f>
        <v>4094</v>
      </c>
      <c r="E84" s="135"/>
      <c r="F84" s="135"/>
    </row>
    <row r="85" spans="1:6" s="45" customFormat="1" x14ac:dyDescent="0.2">
      <c r="A85" s="135">
        <v>78</v>
      </c>
      <c r="B85" s="136" t="s">
        <v>117</v>
      </c>
      <c r="C85" s="135">
        <f t="shared" si="1"/>
        <v>1631</v>
      </c>
      <c r="D85" s="135">
        <f>1628+3</f>
        <v>1631</v>
      </c>
      <c r="E85" s="135"/>
      <c r="F85" s="135"/>
    </row>
    <row r="86" spans="1:6" s="45" customFormat="1" x14ac:dyDescent="0.2">
      <c r="A86" s="135">
        <v>79</v>
      </c>
      <c r="B86" s="136" t="s">
        <v>118</v>
      </c>
      <c r="C86" s="135">
        <f t="shared" si="1"/>
        <v>1802</v>
      </c>
      <c r="D86" s="135">
        <f>1597+200+5</f>
        <v>1802</v>
      </c>
      <c r="E86" s="135"/>
      <c r="F86" s="135"/>
    </row>
    <row r="87" spans="1:6" s="45" customFormat="1" x14ac:dyDescent="0.2">
      <c r="A87" s="135">
        <v>80</v>
      </c>
      <c r="B87" s="136" t="s">
        <v>69</v>
      </c>
      <c r="C87" s="135">
        <f t="shared" si="1"/>
        <v>3168</v>
      </c>
      <c r="D87" s="135">
        <f>3185-2-2-2-11</f>
        <v>3168</v>
      </c>
      <c r="E87" s="135"/>
      <c r="F87" s="135"/>
    </row>
    <row r="88" spans="1:6" s="45" customFormat="1" x14ac:dyDescent="0.2">
      <c r="A88" s="135">
        <v>81</v>
      </c>
      <c r="B88" s="136" t="s">
        <v>70</v>
      </c>
      <c r="C88" s="135">
        <f t="shared" si="1"/>
        <v>2408</v>
      </c>
      <c r="D88" s="135">
        <f>2399+9</f>
        <v>2408</v>
      </c>
      <c r="E88" s="135"/>
      <c r="F88" s="135"/>
    </row>
    <row r="89" spans="1:6" s="45" customFormat="1" x14ac:dyDescent="0.2">
      <c r="A89" s="135">
        <v>82</v>
      </c>
      <c r="B89" s="136" t="s">
        <v>71</v>
      </c>
      <c r="C89" s="135">
        <f t="shared" si="1"/>
        <v>1840</v>
      </c>
      <c r="D89" s="135">
        <f>1899-59</f>
        <v>1840</v>
      </c>
      <c r="E89" s="135"/>
      <c r="F89" s="135"/>
    </row>
    <row r="90" spans="1:6" s="45" customFormat="1" x14ac:dyDescent="0.2">
      <c r="A90" s="135">
        <v>83</v>
      </c>
      <c r="B90" s="136" t="s">
        <v>72</v>
      </c>
      <c r="C90" s="135">
        <f t="shared" si="1"/>
        <v>1085</v>
      </c>
      <c r="D90" s="135">
        <f>1077+8</f>
        <v>1085</v>
      </c>
      <c r="E90" s="135"/>
      <c r="F90" s="135"/>
    </row>
    <row r="91" spans="1:6" s="45" customFormat="1" x14ac:dyDescent="0.2">
      <c r="A91" s="135">
        <v>84</v>
      </c>
      <c r="B91" s="136" t="s">
        <v>73</v>
      </c>
      <c r="C91" s="135">
        <f t="shared" si="1"/>
        <v>1592</v>
      </c>
      <c r="D91" s="135">
        <f>1589+3</f>
        <v>1592</v>
      </c>
      <c r="E91" s="135"/>
      <c r="F91" s="135"/>
    </row>
    <row r="92" spans="1:6" s="45" customFormat="1" x14ac:dyDescent="0.2">
      <c r="A92" s="135">
        <v>85</v>
      </c>
      <c r="B92" s="136" t="s">
        <v>74</v>
      </c>
      <c r="C92" s="135">
        <f t="shared" si="1"/>
        <v>876</v>
      </c>
      <c r="D92" s="135">
        <f>874+2</f>
        <v>876</v>
      </c>
      <c r="E92" s="135"/>
      <c r="F92" s="135"/>
    </row>
    <row r="93" spans="1:6" s="45" customFormat="1" x14ac:dyDescent="0.2">
      <c r="A93" s="135">
        <v>86</v>
      </c>
      <c r="B93" s="136" t="s">
        <v>75</v>
      </c>
      <c r="C93" s="135">
        <f t="shared" si="1"/>
        <v>4826</v>
      </c>
      <c r="D93" s="135">
        <f>4812+14</f>
        <v>4826</v>
      </c>
      <c r="E93" s="135"/>
      <c r="F93" s="135"/>
    </row>
    <row r="94" spans="1:6" s="45" customFormat="1" x14ac:dyDescent="0.2">
      <c r="A94" s="135">
        <v>87</v>
      </c>
      <c r="B94" s="136" t="s">
        <v>76</v>
      </c>
      <c r="C94" s="135">
        <f t="shared" si="1"/>
        <v>1631</v>
      </c>
      <c r="D94" s="135">
        <f>1626+5</f>
        <v>1631</v>
      </c>
      <c r="E94" s="135"/>
      <c r="F94" s="135"/>
    </row>
    <row r="95" spans="1:6" s="45" customFormat="1" x14ac:dyDescent="0.2">
      <c r="A95" s="135">
        <v>88</v>
      </c>
      <c r="B95" s="136" t="s">
        <v>77</v>
      </c>
      <c r="C95" s="135">
        <f t="shared" si="1"/>
        <v>2117</v>
      </c>
      <c r="D95" s="135">
        <f>2111+6</f>
        <v>2117</v>
      </c>
      <c r="E95" s="135"/>
      <c r="F95" s="135"/>
    </row>
    <row r="96" spans="1:6" s="45" customFormat="1" x14ac:dyDescent="0.2">
      <c r="A96" s="135">
        <v>89</v>
      </c>
      <c r="B96" s="136" t="s">
        <v>78</v>
      </c>
      <c r="C96" s="135">
        <f t="shared" si="1"/>
        <v>672</v>
      </c>
      <c r="D96" s="142">
        <f>674-2</f>
        <v>672</v>
      </c>
      <c r="E96" s="142"/>
      <c r="F96" s="142"/>
    </row>
    <row r="97" spans="1:6" s="45" customFormat="1" x14ac:dyDescent="0.2">
      <c r="A97" s="135">
        <v>90</v>
      </c>
      <c r="B97" s="136" t="s">
        <v>79</v>
      </c>
      <c r="C97" s="135">
        <f t="shared" si="1"/>
        <v>2563</v>
      </c>
      <c r="D97" s="142">
        <f>2548+15</f>
        <v>2563</v>
      </c>
      <c r="E97" s="142"/>
      <c r="F97" s="142"/>
    </row>
    <row r="98" spans="1:6" s="45" customFormat="1" x14ac:dyDescent="0.2">
      <c r="A98" s="135">
        <v>91</v>
      </c>
      <c r="B98" s="136" t="s">
        <v>80</v>
      </c>
      <c r="C98" s="135">
        <f t="shared" si="1"/>
        <v>1011</v>
      </c>
      <c r="D98" s="142">
        <f>1007+4</f>
        <v>1011</v>
      </c>
      <c r="E98" s="142"/>
      <c r="F98" s="142"/>
    </row>
    <row r="99" spans="1:6" s="45" customFormat="1" x14ac:dyDescent="0.2">
      <c r="A99" s="135">
        <v>92</v>
      </c>
      <c r="B99" s="136" t="s">
        <v>81</v>
      </c>
      <c r="C99" s="135">
        <f t="shared" si="1"/>
        <v>1483</v>
      </c>
      <c r="D99" s="142">
        <f>1476+7</f>
        <v>1483</v>
      </c>
      <c r="E99" s="142"/>
      <c r="F99" s="142"/>
    </row>
    <row r="100" spans="1:6" s="45" customFormat="1" x14ac:dyDescent="0.2">
      <c r="A100" s="135">
        <v>93</v>
      </c>
      <c r="B100" s="136" t="s">
        <v>82</v>
      </c>
      <c r="C100" s="135">
        <f t="shared" si="1"/>
        <v>2614</v>
      </c>
      <c r="D100" s="142">
        <f>2610+4</f>
        <v>2614</v>
      </c>
      <c r="E100" s="142"/>
      <c r="F100" s="142"/>
    </row>
    <row r="101" spans="1:6" s="45" customFormat="1" x14ac:dyDescent="0.2">
      <c r="A101" s="135">
        <v>94</v>
      </c>
      <c r="B101" s="136" t="s">
        <v>83</v>
      </c>
      <c r="C101" s="135">
        <f t="shared" si="1"/>
        <v>2481</v>
      </c>
      <c r="D101" s="142">
        <f>2478+3</f>
        <v>2481</v>
      </c>
      <c r="E101" s="142"/>
      <c r="F101" s="142"/>
    </row>
    <row r="102" spans="1:6" s="45" customFormat="1" x14ac:dyDescent="0.2">
      <c r="A102" s="135">
        <v>95</v>
      </c>
      <c r="B102" s="136" t="s">
        <v>84</v>
      </c>
      <c r="C102" s="135">
        <f t="shared" si="1"/>
        <v>1461</v>
      </c>
      <c r="D102" s="142">
        <f>1457+4</f>
        <v>1461</v>
      </c>
      <c r="E102" s="142"/>
      <c r="F102" s="142"/>
    </row>
    <row r="103" spans="1:6" s="45" customFormat="1" x14ac:dyDescent="0.2">
      <c r="A103" s="135">
        <v>96</v>
      </c>
      <c r="B103" s="136" t="s">
        <v>85</v>
      </c>
      <c r="C103" s="135">
        <f t="shared" si="1"/>
        <v>1105</v>
      </c>
      <c r="D103" s="142">
        <f>1101+4</f>
        <v>1105</v>
      </c>
      <c r="E103" s="142"/>
      <c r="F103" s="142"/>
    </row>
    <row r="104" spans="1:6" s="45" customFormat="1" x14ac:dyDescent="0.2">
      <c r="A104" s="135">
        <v>97</v>
      </c>
      <c r="B104" s="136" t="s">
        <v>86</v>
      </c>
      <c r="C104" s="135">
        <f t="shared" si="1"/>
        <v>1564</v>
      </c>
      <c r="D104" s="142">
        <f>1565-1</f>
        <v>1564</v>
      </c>
      <c r="E104" s="142"/>
      <c r="F104" s="142"/>
    </row>
    <row r="105" spans="1:6" s="45" customFormat="1" x14ac:dyDescent="0.2">
      <c r="A105" s="135">
        <v>98</v>
      </c>
      <c r="B105" s="136" t="s">
        <v>87</v>
      </c>
      <c r="C105" s="135">
        <f t="shared" si="1"/>
        <v>2661</v>
      </c>
      <c r="D105" s="142">
        <f>2665-4</f>
        <v>2661</v>
      </c>
      <c r="E105" s="142"/>
      <c r="F105" s="142"/>
    </row>
    <row r="106" spans="1:6" s="45" customFormat="1" x14ac:dyDescent="0.2">
      <c r="A106" s="135">
        <v>99</v>
      </c>
      <c r="B106" s="136" t="s">
        <v>88</v>
      </c>
      <c r="C106" s="135">
        <f t="shared" si="1"/>
        <v>1260</v>
      </c>
      <c r="D106" s="142">
        <f>1256+4</f>
        <v>1260</v>
      </c>
      <c r="E106" s="142"/>
      <c r="F106" s="142"/>
    </row>
    <row r="107" spans="1:6" s="45" customFormat="1" ht="25.5" x14ac:dyDescent="0.2">
      <c r="A107" s="135">
        <v>100</v>
      </c>
      <c r="B107" s="141" t="s">
        <v>89</v>
      </c>
      <c r="C107" s="135">
        <f t="shared" si="1"/>
        <v>1014</v>
      </c>
      <c r="D107" s="142">
        <f>1009+5</f>
        <v>1014</v>
      </c>
      <c r="E107" s="142"/>
      <c r="F107" s="142"/>
    </row>
    <row r="108" spans="1:6" s="45" customFormat="1" x14ac:dyDescent="0.2">
      <c r="A108" s="135">
        <v>101</v>
      </c>
      <c r="B108" s="136" t="s">
        <v>8</v>
      </c>
      <c r="C108" s="135">
        <f t="shared" si="1"/>
        <v>383</v>
      </c>
      <c r="D108" s="142">
        <f>374+10-1</f>
        <v>383</v>
      </c>
      <c r="E108" s="142"/>
      <c r="F108" s="142"/>
    </row>
    <row r="109" spans="1:6" s="45" customFormat="1" x14ac:dyDescent="0.2">
      <c r="A109" s="135">
        <v>102</v>
      </c>
      <c r="B109" s="136" t="s">
        <v>119</v>
      </c>
      <c r="C109" s="135">
        <f t="shared" si="1"/>
        <v>323</v>
      </c>
      <c r="D109" s="142">
        <f>321+2</f>
        <v>323</v>
      </c>
      <c r="E109" s="142"/>
      <c r="F109" s="142"/>
    </row>
    <row r="110" spans="1:6" s="45" customFormat="1" x14ac:dyDescent="0.2">
      <c r="A110" s="135">
        <v>103</v>
      </c>
      <c r="B110" s="136" t="s">
        <v>360</v>
      </c>
      <c r="C110" s="135">
        <f t="shared" si="1"/>
        <v>750</v>
      </c>
      <c r="D110" s="143">
        <f>804+34-88</f>
        <v>750</v>
      </c>
      <c r="E110" s="142"/>
      <c r="F110" s="142"/>
    </row>
    <row r="111" spans="1:6" s="45" customFormat="1" x14ac:dyDescent="0.2">
      <c r="A111" s="135">
        <v>104</v>
      </c>
      <c r="B111" s="136" t="s">
        <v>361</v>
      </c>
      <c r="C111" s="135">
        <f t="shared" si="1"/>
        <v>89</v>
      </c>
      <c r="D111" s="143">
        <f>0+88+1</f>
        <v>89</v>
      </c>
      <c r="E111" s="142"/>
      <c r="F111" s="142"/>
    </row>
    <row r="112" spans="1:6" s="45" customFormat="1" x14ac:dyDescent="0.2">
      <c r="A112" s="135">
        <v>105</v>
      </c>
      <c r="B112" s="136" t="s">
        <v>362</v>
      </c>
      <c r="C112" s="135">
        <f t="shared" si="1"/>
        <v>588</v>
      </c>
      <c r="D112" s="142">
        <f>E112</f>
        <v>588</v>
      </c>
      <c r="E112" s="142">
        <f>589-1</f>
        <v>588</v>
      </c>
      <c r="F112" s="142"/>
    </row>
    <row r="113" spans="1:6" s="45" customFormat="1" x14ac:dyDescent="0.2">
      <c r="A113" s="135">
        <v>106</v>
      </c>
      <c r="B113" s="136" t="s">
        <v>363</v>
      </c>
      <c r="C113" s="135">
        <f t="shared" si="1"/>
        <v>39</v>
      </c>
      <c r="D113" s="142">
        <f>40-1</f>
        <v>39</v>
      </c>
      <c r="E113" s="142"/>
      <c r="F113" s="142"/>
    </row>
    <row r="114" spans="1:6" s="45" customFormat="1" x14ac:dyDescent="0.2">
      <c r="A114" s="135">
        <v>107</v>
      </c>
      <c r="B114" s="136" t="s">
        <v>120</v>
      </c>
      <c r="C114" s="135">
        <f t="shared" si="1"/>
        <v>5674</v>
      </c>
      <c r="D114" s="143">
        <f>5691+12-29</f>
        <v>5674</v>
      </c>
      <c r="E114" s="142"/>
      <c r="F114" s="142"/>
    </row>
    <row r="115" spans="1:6" s="45" customFormat="1" x14ac:dyDescent="0.2">
      <c r="A115" s="135">
        <v>108</v>
      </c>
      <c r="B115" s="136" t="s">
        <v>364</v>
      </c>
      <c r="C115" s="135">
        <f t="shared" si="1"/>
        <v>511</v>
      </c>
      <c r="D115" s="142">
        <f>E115</f>
        <v>511</v>
      </c>
      <c r="E115" s="142">
        <v>511</v>
      </c>
      <c r="F115" s="142"/>
    </row>
    <row r="116" spans="1:6" s="45" customFormat="1" x14ac:dyDescent="0.2">
      <c r="A116" s="135">
        <v>109</v>
      </c>
      <c r="B116" s="45" t="s">
        <v>121</v>
      </c>
      <c r="C116" s="135">
        <f t="shared" si="1"/>
        <v>27</v>
      </c>
      <c r="D116" s="142">
        <f>40-13</f>
        <v>27</v>
      </c>
      <c r="E116" s="142"/>
      <c r="F116" s="142"/>
    </row>
    <row r="117" spans="1:6" s="45" customFormat="1" x14ac:dyDescent="0.2">
      <c r="A117" s="135">
        <v>110</v>
      </c>
      <c r="B117" s="136" t="s">
        <v>122</v>
      </c>
      <c r="C117" s="135">
        <f t="shared" si="1"/>
        <v>1033</v>
      </c>
      <c r="D117" s="142">
        <f>1044-2-1-8</f>
        <v>1033</v>
      </c>
      <c r="E117" s="142"/>
      <c r="F117" s="142"/>
    </row>
    <row r="118" spans="1:6" s="45" customFormat="1" x14ac:dyDescent="0.2">
      <c r="A118" s="135">
        <v>111</v>
      </c>
      <c r="B118" s="136" t="s">
        <v>365</v>
      </c>
      <c r="C118" s="135">
        <f t="shared" si="1"/>
        <v>378</v>
      </c>
      <c r="D118" s="142">
        <f>540-162</f>
        <v>378</v>
      </c>
      <c r="E118" s="142">
        <v>338</v>
      </c>
      <c r="F118" s="142"/>
    </row>
    <row r="119" spans="1:6" s="45" customFormat="1" x14ac:dyDescent="0.2">
      <c r="A119" s="135">
        <v>112</v>
      </c>
      <c r="B119" s="136" t="s">
        <v>366</v>
      </c>
      <c r="C119" s="135">
        <f t="shared" si="1"/>
        <v>2308</v>
      </c>
      <c r="D119" s="142">
        <f>2400-5-2-2-1-82</f>
        <v>2308</v>
      </c>
      <c r="E119" s="142"/>
      <c r="F119" s="142"/>
    </row>
    <row r="120" spans="1:6" s="45" customFormat="1" x14ac:dyDescent="0.2">
      <c r="A120" s="135">
        <v>113</v>
      </c>
      <c r="B120" s="136" t="s">
        <v>123</v>
      </c>
      <c r="C120" s="135">
        <f t="shared" si="1"/>
        <v>2102</v>
      </c>
      <c r="D120" s="142">
        <f>2181-79</f>
        <v>2102</v>
      </c>
      <c r="E120" s="142"/>
      <c r="F120" s="142"/>
    </row>
    <row r="121" spans="1:6" s="45" customFormat="1" x14ac:dyDescent="0.2">
      <c r="A121" s="135">
        <v>114</v>
      </c>
      <c r="B121" s="136" t="s">
        <v>7</v>
      </c>
      <c r="C121" s="135">
        <f t="shared" si="1"/>
        <v>5000</v>
      </c>
      <c r="D121" s="142">
        <v>5000</v>
      </c>
      <c r="E121" s="142"/>
      <c r="F121" s="142"/>
    </row>
    <row r="122" spans="1:6" s="45" customFormat="1" x14ac:dyDescent="0.2">
      <c r="A122" s="135">
        <v>115</v>
      </c>
      <c r="B122" s="136" t="s">
        <v>3</v>
      </c>
      <c r="C122" s="135">
        <f t="shared" si="1"/>
        <v>362</v>
      </c>
      <c r="D122" s="142">
        <f>360+2</f>
        <v>362</v>
      </c>
      <c r="E122" s="142"/>
      <c r="F122" s="142"/>
    </row>
    <row r="123" spans="1:6" s="45" customFormat="1" x14ac:dyDescent="0.2">
      <c r="A123" s="135">
        <v>116</v>
      </c>
      <c r="B123" s="136" t="s">
        <v>92</v>
      </c>
      <c r="C123" s="135">
        <f t="shared" si="1"/>
        <v>6923</v>
      </c>
      <c r="D123" s="142">
        <f>7000-40-37</f>
        <v>6923</v>
      </c>
      <c r="E123" s="142"/>
      <c r="F123" s="142"/>
    </row>
    <row r="124" spans="1:6" s="45" customFormat="1" x14ac:dyDescent="0.2">
      <c r="A124" s="135">
        <v>117</v>
      </c>
      <c r="B124" s="136" t="s">
        <v>93</v>
      </c>
      <c r="C124" s="135">
        <f t="shared" si="1"/>
        <v>1729</v>
      </c>
      <c r="D124" s="142">
        <f>1724+5</f>
        <v>1729</v>
      </c>
      <c r="E124" s="142"/>
      <c r="F124" s="142"/>
    </row>
    <row r="125" spans="1:6" s="45" customFormat="1" x14ac:dyDescent="0.2">
      <c r="A125" s="135">
        <v>118</v>
      </c>
      <c r="B125" s="136" t="s">
        <v>124</v>
      </c>
      <c r="C125" s="135">
        <f t="shared" si="1"/>
        <v>2378</v>
      </c>
      <c r="D125" s="142">
        <f>3321-950+117-110</f>
        <v>2378</v>
      </c>
      <c r="E125" s="142"/>
      <c r="F125" s="142"/>
    </row>
    <row r="126" spans="1:6" s="45" customFormat="1" x14ac:dyDescent="0.2">
      <c r="A126" s="135">
        <v>119</v>
      </c>
      <c r="B126" s="136" t="s">
        <v>367</v>
      </c>
      <c r="C126" s="135">
        <f t="shared" si="1"/>
        <v>2903</v>
      </c>
      <c r="D126" s="142">
        <f>2676-500+728-1</f>
        <v>2903</v>
      </c>
      <c r="E126" s="142">
        <f>500-500</f>
        <v>0</v>
      </c>
      <c r="F126" s="142"/>
    </row>
    <row r="127" spans="1:6" s="45" customFormat="1" x14ac:dyDescent="0.2">
      <c r="A127" s="135">
        <v>120</v>
      </c>
      <c r="B127" s="136" t="s">
        <v>125</v>
      </c>
      <c r="C127" s="135">
        <f t="shared" si="1"/>
        <v>555</v>
      </c>
      <c r="D127" s="142">
        <f>E127</f>
        <v>555</v>
      </c>
      <c r="E127" s="142">
        <f>556-1</f>
        <v>555</v>
      </c>
      <c r="F127" s="142"/>
    </row>
    <row r="128" spans="1:6" s="45" customFormat="1" x14ac:dyDescent="0.2">
      <c r="A128" s="135">
        <v>121</v>
      </c>
      <c r="B128" s="136" t="s">
        <v>126</v>
      </c>
      <c r="C128" s="135">
        <f t="shared" si="1"/>
        <v>849</v>
      </c>
      <c r="D128" s="142">
        <f>850+2-3</f>
        <v>849</v>
      </c>
      <c r="E128" s="142"/>
      <c r="F128" s="142"/>
    </row>
    <row r="129" spans="1:6" s="45" customFormat="1" x14ac:dyDescent="0.2">
      <c r="A129" s="135">
        <v>122</v>
      </c>
      <c r="B129" s="136" t="s">
        <v>2</v>
      </c>
      <c r="C129" s="135">
        <f t="shared" si="1"/>
        <v>603</v>
      </c>
      <c r="D129" s="142">
        <f>600+3</f>
        <v>603</v>
      </c>
      <c r="E129" s="142"/>
      <c r="F129" s="142"/>
    </row>
    <row r="130" spans="1:6" s="45" customFormat="1" x14ac:dyDescent="0.2">
      <c r="A130" s="135">
        <v>123</v>
      </c>
      <c r="B130" s="136" t="s">
        <v>127</v>
      </c>
      <c r="C130" s="135">
        <f t="shared" si="1"/>
        <v>3212</v>
      </c>
      <c r="D130" s="142">
        <f>3200+12</f>
        <v>3212</v>
      </c>
      <c r="E130" s="142"/>
      <c r="F130" s="142"/>
    </row>
    <row r="131" spans="1:6" s="139" customFormat="1" ht="25.5" x14ac:dyDescent="0.2">
      <c r="A131" s="135">
        <v>124</v>
      </c>
      <c r="B131" s="140" t="s">
        <v>128</v>
      </c>
      <c r="C131" s="138">
        <f t="shared" si="1"/>
        <v>3466</v>
      </c>
      <c r="D131" s="144">
        <f>3450+16</f>
        <v>3466</v>
      </c>
      <c r="E131" s="144"/>
      <c r="F131" s="144"/>
    </row>
    <row r="132" spans="1:6" s="45" customFormat="1" x14ac:dyDescent="0.2">
      <c r="A132" s="135">
        <v>125</v>
      </c>
      <c r="B132" s="136" t="s">
        <v>129</v>
      </c>
      <c r="C132" s="135">
        <f t="shared" si="1"/>
        <v>346</v>
      </c>
      <c r="D132" s="142">
        <f>346+3+4+4-11</f>
        <v>346</v>
      </c>
      <c r="E132" s="142"/>
      <c r="F132" s="142"/>
    </row>
    <row r="133" spans="1:6" s="45" customFormat="1" ht="15.75" customHeight="1" x14ac:dyDescent="0.2">
      <c r="A133" s="145">
        <v>126</v>
      </c>
      <c r="B133" s="141" t="s">
        <v>368</v>
      </c>
      <c r="C133" s="135">
        <f t="shared" si="1"/>
        <v>419</v>
      </c>
      <c r="D133" s="142"/>
      <c r="E133" s="142"/>
      <c r="F133" s="142">
        <f>F135+F136</f>
        <v>419</v>
      </c>
    </row>
    <row r="134" spans="1:6" s="45" customFormat="1" x14ac:dyDescent="0.2">
      <c r="A134" s="146"/>
      <c r="B134" s="141" t="s">
        <v>369</v>
      </c>
      <c r="C134" s="135"/>
      <c r="D134" s="146"/>
      <c r="E134" s="146"/>
      <c r="F134" s="146"/>
    </row>
    <row r="135" spans="1:6" s="45" customFormat="1" ht="14.25" customHeight="1" x14ac:dyDescent="0.2">
      <c r="A135" s="146"/>
      <c r="B135" s="141" t="s">
        <v>370</v>
      </c>
      <c r="C135" s="135">
        <f t="shared" ref="C135:C137" si="2">D135+F135</f>
        <v>314</v>
      </c>
      <c r="D135" s="146"/>
      <c r="E135" s="146"/>
      <c r="F135" s="142">
        <f>383-69</f>
        <v>314</v>
      </c>
    </row>
    <row r="136" spans="1:6" s="45" customFormat="1" ht="13.5" customHeight="1" x14ac:dyDescent="0.2">
      <c r="A136" s="146"/>
      <c r="B136" s="141" t="s">
        <v>371</v>
      </c>
      <c r="C136" s="135">
        <f t="shared" si="2"/>
        <v>105</v>
      </c>
      <c r="D136" s="146"/>
      <c r="E136" s="146"/>
      <c r="F136" s="142">
        <f>60+45</f>
        <v>105</v>
      </c>
    </row>
    <row r="137" spans="1:6" s="45" customFormat="1" x14ac:dyDescent="0.2">
      <c r="A137" s="146"/>
      <c r="B137" s="136" t="s">
        <v>96</v>
      </c>
      <c r="C137" s="135">
        <f t="shared" si="2"/>
        <v>895</v>
      </c>
      <c r="D137" s="142">
        <f>295+16+6+8+12+10-46+594</f>
        <v>895</v>
      </c>
      <c r="E137" s="147">
        <v>6</v>
      </c>
      <c r="F137" s="146"/>
    </row>
    <row r="138" spans="1:6" s="45" customFormat="1" x14ac:dyDescent="0.2">
      <c r="A138" s="148"/>
      <c r="B138" s="149" t="s">
        <v>98</v>
      </c>
      <c r="C138" s="148">
        <f>SUM(C8:C133)+C137</f>
        <v>244007</v>
      </c>
      <c r="D138" s="148">
        <f t="shared" ref="D138:F138" si="3">SUM(D8:D133)+D137</f>
        <v>243588</v>
      </c>
      <c r="E138" s="148">
        <f t="shared" si="3"/>
        <v>1998</v>
      </c>
      <c r="F138" s="148">
        <f t="shared" si="3"/>
        <v>419</v>
      </c>
    </row>
    <row r="139" spans="1:6" s="45" customFormat="1" x14ac:dyDescent="0.2">
      <c r="A139" s="150"/>
    </row>
    <row r="140" spans="1:6" x14ac:dyDescent="0.2">
      <c r="A140" s="151"/>
      <c r="C140" s="152"/>
      <c r="D140" s="152"/>
      <c r="E140" s="152"/>
      <c r="F140" s="152"/>
    </row>
    <row r="141" spans="1:6" x14ac:dyDescent="0.2">
      <c r="A141" s="151"/>
      <c r="C141" s="145"/>
      <c r="D141" s="145"/>
      <c r="E141" s="145"/>
      <c r="F141" s="145"/>
    </row>
    <row r="143" spans="1:6" s="145" customFormat="1" x14ac:dyDescent="0.2"/>
    <row r="144" spans="1:6" x14ac:dyDescent="0.2">
      <c r="C144" s="145"/>
      <c r="D144" s="145"/>
      <c r="E144" s="145"/>
      <c r="F144" s="145"/>
    </row>
  </sheetData>
  <mergeCells count="5">
    <mergeCell ref="A1:F2"/>
    <mergeCell ref="E4:F4"/>
    <mergeCell ref="A5:A6"/>
    <mergeCell ref="B5:B6"/>
    <mergeCell ref="C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zoomScale="110" zoomScaleNormal="110" workbookViewId="0">
      <pane xSplit="2" ySplit="8" topLeftCell="C153" activePane="bottomRight" state="frozen"/>
      <selection pane="topRight" activeCell="C1" sqref="C1"/>
      <selection pane="bottomLeft" activeCell="A7" sqref="A7"/>
      <selection pane="bottomRight" activeCell="E183" sqref="E183"/>
    </sheetView>
  </sheetViews>
  <sheetFormatPr defaultRowHeight="15" x14ac:dyDescent="0.25"/>
  <cols>
    <col min="1" max="1" width="4.28515625" style="26" customWidth="1"/>
    <col min="2" max="2" width="31.140625" style="2" customWidth="1"/>
    <col min="3" max="4" width="8.140625" style="26" customWidth="1"/>
    <col min="5" max="5" width="10.140625" style="26" customWidth="1"/>
    <col min="6" max="6" width="11.42578125" style="26" customWidth="1"/>
    <col min="7" max="7" width="11.7109375" style="26" customWidth="1"/>
    <col min="8" max="8" width="8" style="26" customWidth="1"/>
    <col min="9" max="10" width="8.28515625" style="26" customWidth="1"/>
    <col min="11" max="11" width="9.28515625" style="26" customWidth="1"/>
    <col min="12" max="12" width="7.7109375" style="26" customWidth="1"/>
    <col min="13" max="13" width="8.140625" style="26" customWidth="1"/>
    <col min="14" max="14" width="8" style="26" customWidth="1"/>
    <col min="15" max="15" width="8.42578125" style="26" customWidth="1"/>
    <col min="16" max="16" width="12.42578125" style="26" customWidth="1"/>
    <col min="17" max="16384" width="9.140625" style="26"/>
  </cols>
  <sheetData>
    <row r="1" spans="1:19" ht="18.75" x14ac:dyDescent="0.25">
      <c r="A1" s="169" t="s">
        <v>130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9" ht="15.75" x14ac:dyDescent="0.25">
      <c r="A2" s="27"/>
    </row>
    <row r="3" spans="1:19" ht="11.25" customHeight="1" x14ac:dyDescent="0.25">
      <c r="A3" s="170" t="s">
        <v>10</v>
      </c>
      <c r="B3" s="170" t="s">
        <v>97</v>
      </c>
      <c r="C3" s="170" t="s">
        <v>131</v>
      </c>
      <c r="D3" s="170" t="s">
        <v>12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9" ht="22.5" customHeight="1" x14ac:dyDescent="0.25">
      <c r="A4" s="170"/>
      <c r="B4" s="170"/>
      <c r="C4" s="170"/>
      <c r="D4" s="170" t="s">
        <v>132</v>
      </c>
      <c r="E4" s="171" t="s">
        <v>133</v>
      </c>
      <c r="F4" s="172"/>
      <c r="G4" s="172"/>
      <c r="H4" s="173"/>
      <c r="I4" s="170" t="s">
        <v>134</v>
      </c>
      <c r="J4" s="170" t="s">
        <v>135</v>
      </c>
      <c r="K4" s="170" t="s">
        <v>136</v>
      </c>
      <c r="L4" s="170" t="s">
        <v>137</v>
      </c>
      <c r="M4" s="170" t="s">
        <v>12</v>
      </c>
      <c r="N4" s="170"/>
      <c r="O4" s="170" t="s">
        <v>138</v>
      </c>
      <c r="P4" s="170" t="s">
        <v>139</v>
      </c>
      <c r="Q4" s="171" t="s">
        <v>140</v>
      </c>
      <c r="R4" s="173"/>
    </row>
    <row r="5" spans="1:19" ht="17.25" customHeight="1" x14ac:dyDescent="0.25">
      <c r="A5" s="170"/>
      <c r="B5" s="170"/>
      <c r="C5" s="170"/>
      <c r="D5" s="170"/>
      <c r="E5" s="170" t="s">
        <v>141</v>
      </c>
      <c r="F5" s="170"/>
      <c r="G5" s="170"/>
      <c r="H5" s="177" t="s">
        <v>142</v>
      </c>
      <c r="I5" s="170"/>
      <c r="J5" s="170"/>
      <c r="K5" s="170"/>
      <c r="L5" s="170"/>
      <c r="M5" s="174" t="s">
        <v>143</v>
      </c>
      <c r="N5" s="174" t="s">
        <v>144</v>
      </c>
      <c r="O5" s="170"/>
      <c r="P5" s="170"/>
      <c r="Q5" s="170" t="s">
        <v>145</v>
      </c>
      <c r="R5" s="174" t="s">
        <v>146</v>
      </c>
    </row>
    <row r="6" spans="1:19" ht="13.5" customHeight="1" x14ac:dyDescent="0.25">
      <c r="A6" s="170"/>
      <c r="B6" s="170"/>
      <c r="C6" s="170"/>
      <c r="D6" s="170"/>
      <c r="E6" s="174" t="s">
        <v>5</v>
      </c>
      <c r="F6" s="171" t="s">
        <v>12</v>
      </c>
      <c r="G6" s="173"/>
      <c r="H6" s="178"/>
      <c r="I6" s="170"/>
      <c r="J6" s="170"/>
      <c r="K6" s="170"/>
      <c r="L6" s="170"/>
      <c r="M6" s="175"/>
      <c r="N6" s="175"/>
      <c r="O6" s="170"/>
      <c r="P6" s="170"/>
      <c r="Q6" s="170"/>
      <c r="R6" s="175"/>
    </row>
    <row r="7" spans="1:19" ht="34.5" customHeight="1" x14ac:dyDescent="0.25">
      <c r="A7" s="170"/>
      <c r="B7" s="170"/>
      <c r="C7" s="170"/>
      <c r="D7" s="170"/>
      <c r="E7" s="176"/>
      <c r="F7" s="52" t="s">
        <v>147</v>
      </c>
      <c r="G7" s="52" t="s">
        <v>148</v>
      </c>
      <c r="H7" s="179"/>
      <c r="I7" s="170"/>
      <c r="J7" s="170"/>
      <c r="K7" s="170"/>
      <c r="L7" s="170"/>
      <c r="M7" s="176"/>
      <c r="N7" s="176"/>
      <c r="O7" s="170"/>
      <c r="P7" s="170"/>
      <c r="Q7" s="170"/>
      <c r="R7" s="176"/>
    </row>
    <row r="8" spans="1:19" s="28" customFormat="1" ht="11.25" customHeight="1" x14ac:dyDescent="0.2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</row>
    <row r="9" spans="1:19" s="28" customFormat="1" ht="12" x14ac:dyDescent="0.2">
      <c r="A9" s="38">
        <v>1</v>
      </c>
      <c r="B9" s="5" t="s">
        <v>14</v>
      </c>
      <c r="C9" s="29">
        <f>D9+E9+H9+I9+J9+K9+L9+O9+P9+Q9+R9</f>
        <v>185487</v>
      </c>
      <c r="D9" s="29"/>
      <c r="E9" s="29">
        <f>F9+G9</f>
        <v>18561</v>
      </c>
      <c r="F9" s="29">
        <f>17262-174-128</f>
        <v>16960</v>
      </c>
      <c r="G9" s="29">
        <f>1606-5</f>
        <v>1601</v>
      </c>
      <c r="H9" s="29">
        <f>3645-300-196</f>
        <v>3149</v>
      </c>
      <c r="I9" s="29">
        <f>1397+1</f>
        <v>1398</v>
      </c>
      <c r="J9" s="29">
        <f>7128-270</f>
        <v>6858</v>
      </c>
      <c r="K9" s="29">
        <f>82979-342</f>
        <v>82637</v>
      </c>
      <c r="L9" s="29">
        <f t="shared" ref="L9:L89" si="0">M9+N9</f>
        <v>1458</v>
      </c>
      <c r="M9" s="29">
        <f>982-6</f>
        <v>976</v>
      </c>
      <c r="N9" s="29">
        <v>482</v>
      </c>
      <c r="O9" s="29"/>
      <c r="P9" s="29"/>
      <c r="Q9" s="29">
        <f>15023+3246+100+100+300+143</f>
        <v>18912</v>
      </c>
      <c r="R9" s="29">
        <f>53055-1606+1065</f>
        <v>52514</v>
      </c>
      <c r="S9" s="30"/>
    </row>
    <row r="10" spans="1:19" s="28" customFormat="1" ht="15" customHeight="1" x14ac:dyDescent="0.2">
      <c r="A10" s="38">
        <v>2</v>
      </c>
      <c r="B10" s="5" t="s">
        <v>15</v>
      </c>
      <c r="C10" s="29">
        <f t="shared" ref="C10:C73" si="1">D10+E10+H10+I10+J10+K10+L10+O10+P10+Q10+R10</f>
        <v>82050</v>
      </c>
      <c r="D10" s="29"/>
      <c r="E10" s="29">
        <f t="shared" ref="E10:E73" si="2">F10+G10</f>
        <v>7861</v>
      </c>
      <c r="F10" s="29">
        <f>7251-43</f>
        <v>7208</v>
      </c>
      <c r="G10" s="29">
        <f>657-4</f>
        <v>653</v>
      </c>
      <c r="H10" s="29">
        <f>2175-19</f>
        <v>2156</v>
      </c>
      <c r="I10" s="29">
        <f>2026+13</f>
        <v>2039</v>
      </c>
      <c r="J10" s="29">
        <f>2858-40</f>
        <v>2818</v>
      </c>
      <c r="K10" s="29">
        <f>33294-5</f>
        <v>33289</v>
      </c>
      <c r="L10" s="29">
        <f t="shared" si="0"/>
        <v>1463</v>
      </c>
      <c r="M10" s="29">
        <f>904-1</f>
        <v>903</v>
      </c>
      <c r="N10" s="29">
        <v>560</v>
      </c>
      <c r="O10" s="29"/>
      <c r="P10" s="29"/>
      <c r="Q10" s="29">
        <f>10987+1433+14</f>
        <v>12434</v>
      </c>
      <c r="R10" s="29">
        <f>20184-657+463</f>
        <v>19990</v>
      </c>
      <c r="S10" s="30"/>
    </row>
    <row r="11" spans="1:19" s="28" customFormat="1" ht="12" x14ac:dyDescent="0.2">
      <c r="A11" s="38">
        <v>3</v>
      </c>
      <c r="B11" s="5" t="s">
        <v>16</v>
      </c>
      <c r="C11" s="29">
        <f t="shared" si="1"/>
        <v>49128</v>
      </c>
      <c r="D11" s="29"/>
      <c r="E11" s="29">
        <f t="shared" si="2"/>
        <v>4861</v>
      </c>
      <c r="F11" s="29">
        <f>4794-320</f>
        <v>4474</v>
      </c>
      <c r="G11" s="29">
        <v>387</v>
      </c>
      <c r="H11" s="29">
        <f>1198-200-186</f>
        <v>812</v>
      </c>
      <c r="I11" s="29">
        <f>1665+22</f>
        <v>1687</v>
      </c>
      <c r="J11" s="29">
        <f>1565-27</f>
        <v>1538</v>
      </c>
      <c r="K11" s="29">
        <f>20248-408</f>
        <v>19840</v>
      </c>
      <c r="L11" s="29"/>
      <c r="M11" s="29"/>
      <c r="N11" s="29"/>
      <c r="O11" s="29"/>
      <c r="P11" s="29"/>
      <c r="Q11" s="29">
        <f>6978+891+200-113</f>
        <v>7956</v>
      </c>
      <c r="R11" s="29">
        <f>12570-387+251</f>
        <v>12434</v>
      </c>
      <c r="S11" s="30"/>
    </row>
    <row r="12" spans="1:19" s="30" customFormat="1" ht="12" x14ac:dyDescent="0.2">
      <c r="A12" s="6">
        <v>4</v>
      </c>
      <c r="B12" s="5" t="s">
        <v>17</v>
      </c>
      <c r="C12" s="29">
        <f t="shared" si="1"/>
        <v>30734</v>
      </c>
      <c r="D12" s="29"/>
      <c r="E12" s="29">
        <f t="shared" si="2"/>
        <v>3214</v>
      </c>
      <c r="F12" s="29">
        <f>2990-10</f>
        <v>2980</v>
      </c>
      <c r="G12" s="29">
        <v>234</v>
      </c>
      <c r="H12" s="29">
        <f>897-3</f>
        <v>894</v>
      </c>
      <c r="I12" s="29">
        <f>405-2</f>
        <v>403</v>
      </c>
      <c r="J12" s="29">
        <f>1140-39</f>
        <v>1101</v>
      </c>
      <c r="K12" s="29">
        <f>11408-323</f>
        <v>11085</v>
      </c>
      <c r="L12" s="29"/>
      <c r="M12" s="29"/>
      <c r="N12" s="29"/>
      <c r="O12" s="29"/>
      <c r="P12" s="29"/>
      <c r="Q12" s="29">
        <f>2916+550-206</f>
        <v>3260</v>
      </c>
      <c r="R12" s="29">
        <f>10851-234+160</f>
        <v>10777</v>
      </c>
    </row>
    <row r="13" spans="1:19" s="30" customFormat="1" ht="12" x14ac:dyDescent="0.2">
      <c r="A13" s="6">
        <v>5</v>
      </c>
      <c r="B13" s="5" t="s">
        <v>18</v>
      </c>
      <c r="C13" s="29">
        <f t="shared" si="1"/>
        <v>58679</v>
      </c>
      <c r="D13" s="29"/>
      <c r="E13" s="29">
        <f t="shared" si="2"/>
        <v>5381</v>
      </c>
      <c r="F13" s="29">
        <f>5400-484</f>
        <v>4916</v>
      </c>
      <c r="G13" s="29">
        <f>498-33</f>
        <v>465</v>
      </c>
      <c r="H13" s="29">
        <f>1985-18</f>
        <v>1967</v>
      </c>
      <c r="I13" s="29">
        <f>178+2</f>
        <v>180</v>
      </c>
      <c r="J13" s="29">
        <f>2158-32</f>
        <v>2126</v>
      </c>
      <c r="K13" s="29">
        <f>22995-825</f>
        <v>22170</v>
      </c>
      <c r="L13" s="29">
        <f t="shared" si="0"/>
        <v>1453</v>
      </c>
      <c r="M13" s="29">
        <f>1000-9</f>
        <v>991</v>
      </c>
      <c r="N13" s="29">
        <f>464-2</f>
        <v>462</v>
      </c>
      <c r="O13" s="29"/>
      <c r="P13" s="29"/>
      <c r="Q13" s="29">
        <f>6649+1040-62</f>
        <v>7627</v>
      </c>
      <c r="R13" s="29">
        <f>17970-498+303</f>
        <v>17775</v>
      </c>
    </row>
    <row r="14" spans="1:19" s="30" customFormat="1" ht="12" x14ac:dyDescent="0.2">
      <c r="A14" s="6">
        <v>6</v>
      </c>
      <c r="B14" s="5" t="s">
        <v>19</v>
      </c>
      <c r="C14" s="29">
        <f t="shared" si="1"/>
        <v>90532</v>
      </c>
      <c r="D14" s="29"/>
      <c r="E14" s="29">
        <f t="shared" si="2"/>
        <v>9198</v>
      </c>
      <c r="F14" s="29">
        <f>8270+248-108</f>
        <v>8410</v>
      </c>
      <c r="G14" s="29">
        <f>719+70-1</f>
        <v>788</v>
      </c>
      <c r="H14" s="29">
        <f>2424-231</f>
        <v>2193</v>
      </c>
      <c r="I14" s="29">
        <f>1745-2</f>
        <v>1743</v>
      </c>
      <c r="J14" s="29">
        <f>3286-53</f>
        <v>3233</v>
      </c>
      <c r="K14" s="29">
        <f>35341-54</f>
        <v>35287</v>
      </c>
      <c r="L14" s="29"/>
      <c r="M14" s="29"/>
      <c r="N14" s="29"/>
      <c r="O14" s="29"/>
      <c r="P14" s="29"/>
      <c r="Q14" s="29">
        <f>9239+1593+76</f>
        <v>10908</v>
      </c>
      <c r="R14" s="29">
        <f>28237-719+452</f>
        <v>27970</v>
      </c>
    </row>
    <row r="15" spans="1:19" s="30" customFormat="1" ht="12" x14ac:dyDescent="0.2">
      <c r="A15" s="6">
        <v>7</v>
      </c>
      <c r="B15" s="5" t="s">
        <v>149</v>
      </c>
      <c r="C15" s="29">
        <f t="shared" si="1"/>
        <v>399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>
        <f>400-20+19</f>
        <v>399</v>
      </c>
      <c r="Q15" s="29"/>
      <c r="R15" s="29"/>
    </row>
    <row r="16" spans="1:19" s="30" customFormat="1" ht="12" x14ac:dyDescent="0.2">
      <c r="A16" s="6">
        <v>8</v>
      </c>
      <c r="B16" s="5" t="s">
        <v>150</v>
      </c>
      <c r="C16" s="29">
        <f t="shared" si="1"/>
        <v>193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>
        <f>200-7</f>
        <v>193</v>
      </c>
      <c r="Q16" s="29"/>
      <c r="R16" s="29"/>
    </row>
    <row r="17" spans="1:19" s="30" customFormat="1" ht="12" x14ac:dyDescent="0.2">
      <c r="A17" s="6">
        <v>9</v>
      </c>
      <c r="B17" s="5" t="s">
        <v>151</v>
      </c>
      <c r="C17" s="29">
        <f t="shared" si="1"/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>
        <f>200-100-100</f>
        <v>0</v>
      </c>
      <c r="Q17" s="29"/>
      <c r="R17" s="29"/>
    </row>
    <row r="18" spans="1:19" s="30" customFormat="1" ht="12" x14ac:dyDescent="0.2">
      <c r="A18" s="6">
        <v>10</v>
      </c>
      <c r="B18" s="5" t="s">
        <v>152</v>
      </c>
      <c r="C18" s="29">
        <f t="shared" si="1"/>
        <v>183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>
        <f>200-17</f>
        <v>183</v>
      </c>
      <c r="Q18" s="29"/>
      <c r="R18" s="29"/>
    </row>
    <row r="19" spans="1:19" s="30" customFormat="1" ht="12" x14ac:dyDescent="0.2">
      <c r="A19" s="6">
        <v>11</v>
      </c>
      <c r="B19" s="5" t="s">
        <v>153</v>
      </c>
      <c r="C19" s="29">
        <f t="shared" si="1"/>
        <v>198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>
        <f>200-2</f>
        <v>198</v>
      </c>
      <c r="Q19" s="29"/>
      <c r="R19" s="29"/>
    </row>
    <row r="20" spans="1:19" s="30" customFormat="1" ht="12" x14ac:dyDescent="0.2">
      <c r="A20" s="6">
        <v>12</v>
      </c>
      <c r="B20" s="5" t="s">
        <v>20</v>
      </c>
      <c r="C20" s="29">
        <f t="shared" si="1"/>
        <v>236090</v>
      </c>
      <c r="D20" s="29">
        <f>25303-15-5</f>
        <v>25283</v>
      </c>
      <c r="E20" s="29">
        <f t="shared" si="2"/>
        <v>20724</v>
      </c>
      <c r="F20" s="29">
        <f>19059-40</f>
        <v>19019</v>
      </c>
      <c r="G20" s="29">
        <f>1706-1</f>
        <v>1705</v>
      </c>
      <c r="H20" s="29">
        <f>11585-6821-735-92</f>
        <v>3937</v>
      </c>
      <c r="I20" s="29">
        <f>6993+55</f>
        <v>7048</v>
      </c>
      <c r="J20" s="29">
        <f>7518-15</f>
        <v>7503</v>
      </c>
      <c r="K20" s="29">
        <f>92629-38</f>
        <v>92591</v>
      </c>
      <c r="L20" s="29">
        <f t="shared" si="0"/>
        <v>1460</v>
      </c>
      <c r="M20" s="29">
        <f>950-4</f>
        <v>946</v>
      </c>
      <c r="N20" s="29">
        <v>514</v>
      </c>
      <c r="O20" s="29"/>
      <c r="P20" s="29"/>
      <c r="Q20" s="29">
        <f>25699+3687+4629+256</f>
        <v>34271</v>
      </c>
      <c r="R20" s="29">
        <f>41593-1706+2192+1194</f>
        <v>43273</v>
      </c>
    </row>
    <row r="21" spans="1:19" s="30" customFormat="1" ht="12" x14ac:dyDescent="0.2">
      <c r="A21" s="6">
        <v>13</v>
      </c>
      <c r="B21" s="5" t="s">
        <v>21</v>
      </c>
      <c r="C21" s="29">
        <f t="shared" si="1"/>
        <v>151226</v>
      </c>
      <c r="D21" s="29"/>
      <c r="E21" s="29">
        <f t="shared" si="2"/>
        <v>14216</v>
      </c>
      <c r="F21" s="29">
        <f>13577-670</f>
        <v>12907</v>
      </c>
      <c r="G21" s="29">
        <f>1235+80-6</f>
        <v>1309</v>
      </c>
      <c r="H21" s="29">
        <f>8146+2400-485</f>
        <v>10061</v>
      </c>
      <c r="I21" s="29">
        <f>2695-37-74</f>
        <v>2584</v>
      </c>
      <c r="J21" s="29">
        <f>5231-168</f>
        <v>5063</v>
      </c>
      <c r="K21" s="29">
        <f>67956-127</f>
        <v>67829</v>
      </c>
      <c r="L21" s="29">
        <f t="shared" si="0"/>
        <v>1449</v>
      </c>
      <c r="M21" s="29">
        <f>878-12</f>
        <v>866</v>
      </c>
      <c r="N21" s="29">
        <f>586-3</f>
        <v>583</v>
      </c>
      <c r="O21" s="29"/>
      <c r="P21" s="29"/>
      <c r="Q21" s="29">
        <f>19503+2000+1100+136</f>
        <v>22739</v>
      </c>
      <c r="R21" s="29">
        <f>27680-1235+840</f>
        <v>27285</v>
      </c>
    </row>
    <row r="22" spans="1:19" s="30" customFormat="1" ht="12" x14ac:dyDescent="0.2">
      <c r="A22" s="6">
        <v>14</v>
      </c>
      <c r="B22" s="5" t="s">
        <v>22</v>
      </c>
      <c r="C22" s="29">
        <f t="shared" si="1"/>
        <v>83609</v>
      </c>
      <c r="D22" s="29"/>
      <c r="E22" s="29">
        <f t="shared" si="2"/>
        <v>7876</v>
      </c>
      <c r="F22" s="29">
        <f>7365-113</f>
        <v>7252</v>
      </c>
      <c r="G22" s="29">
        <f>628-4</f>
        <v>624</v>
      </c>
      <c r="H22" s="29">
        <f>2300-90</f>
        <v>2210</v>
      </c>
      <c r="I22" s="29">
        <f>2896-195-392</f>
        <v>2309</v>
      </c>
      <c r="J22" s="29">
        <f>2823-88</f>
        <v>2735</v>
      </c>
      <c r="K22" s="29">
        <f>48646-1140-536</f>
        <v>46970</v>
      </c>
      <c r="L22" s="29"/>
      <c r="M22" s="29"/>
      <c r="N22" s="29"/>
      <c r="O22" s="29"/>
      <c r="P22" s="29"/>
      <c r="Q22" s="29">
        <f>9243+1516-257</f>
        <v>10502</v>
      </c>
      <c r="R22" s="29">
        <f>11175-628+460</f>
        <v>11007</v>
      </c>
    </row>
    <row r="23" spans="1:19" s="30" customFormat="1" ht="12" x14ac:dyDescent="0.2">
      <c r="A23" s="6">
        <v>15</v>
      </c>
      <c r="B23" s="5" t="s">
        <v>23</v>
      </c>
      <c r="C23" s="29">
        <f t="shared" si="1"/>
        <v>36851</v>
      </c>
      <c r="D23" s="29"/>
      <c r="E23" s="29">
        <f t="shared" si="2"/>
        <v>2885</v>
      </c>
      <c r="F23" s="29">
        <f>2983-327</f>
        <v>2656</v>
      </c>
      <c r="G23" s="29">
        <v>229</v>
      </c>
      <c r="H23" s="29">
        <f>888-83</f>
        <v>805</v>
      </c>
      <c r="I23" s="29">
        <f>180-1</f>
        <v>179</v>
      </c>
      <c r="J23" s="29">
        <f>1062-26</f>
        <v>1036</v>
      </c>
      <c r="K23" s="29">
        <f>21113-193</f>
        <v>20920</v>
      </c>
      <c r="L23" s="29"/>
      <c r="M23" s="29"/>
      <c r="N23" s="29"/>
      <c r="O23" s="29"/>
      <c r="P23" s="29"/>
      <c r="Q23" s="29">
        <f>6503+654+47</f>
        <v>7204</v>
      </c>
      <c r="R23" s="29">
        <f>3854-229+197</f>
        <v>3822</v>
      </c>
    </row>
    <row r="24" spans="1:19" s="30" customFormat="1" ht="12" x14ac:dyDescent="0.2">
      <c r="A24" s="6">
        <v>16</v>
      </c>
      <c r="B24" s="5" t="s">
        <v>154</v>
      </c>
      <c r="C24" s="29">
        <f t="shared" si="1"/>
        <v>184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>
        <f>400-216</f>
        <v>184</v>
      </c>
      <c r="Q24" s="29"/>
      <c r="R24" s="29"/>
    </row>
    <row r="25" spans="1:19" s="30" customFormat="1" ht="12" x14ac:dyDescent="0.2">
      <c r="A25" s="6">
        <v>17</v>
      </c>
      <c r="B25" s="5" t="s">
        <v>24</v>
      </c>
      <c r="C25" s="29">
        <f t="shared" si="1"/>
        <v>35973</v>
      </c>
      <c r="D25" s="29"/>
      <c r="E25" s="29">
        <f t="shared" si="2"/>
        <v>3008</v>
      </c>
      <c r="F25" s="29">
        <f>2734-2</f>
        <v>2732</v>
      </c>
      <c r="G25" s="29">
        <f>277-1</f>
        <v>276</v>
      </c>
      <c r="H25" s="29">
        <f>748-6</f>
        <v>742</v>
      </c>
      <c r="I25" s="29">
        <f>420-10</f>
        <v>410</v>
      </c>
      <c r="J25" s="29">
        <f>886-1</f>
        <v>885</v>
      </c>
      <c r="K25" s="29">
        <f>12420+204-10</f>
        <v>12614</v>
      </c>
      <c r="L25" s="29"/>
      <c r="M25" s="29"/>
      <c r="N25" s="29"/>
      <c r="O25" s="29"/>
      <c r="P25" s="29"/>
      <c r="Q25" s="29">
        <f>9440+64</f>
        <v>9504</v>
      </c>
      <c r="R25" s="29">
        <f>8929-277+158</f>
        <v>8810</v>
      </c>
    </row>
    <row r="26" spans="1:19" s="30" customFormat="1" ht="12" x14ac:dyDescent="0.2">
      <c r="A26" s="6">
        <v>18</v>
      </c>
      <c r="B26" s="5" t="s">
        <v>25</v>
      </c>
      <c r="C26" s="29">
        <f t="shared" si="1"/>
        <v>128160</v>
      </c>
      <c r="D26" s="29">
        <f>17535-27-4</f>
        <v>17504</v>
      </c>
      <c r="E26" s="29">
        <f t="shared" si="2"/>
        <v>9088</v>
      </c>
      <c r="F26" s="29">
        <f>9198-788</f>
        <v>8410</v>
      </c>
      <c r="G26" s="29">
        <f>938-260</f>
        <v>678</v>
      </c>
      <c r="H26" s="29">
        <f>2759-705-1363-2</f>
        <v>689</v>
      </c>
      <c r="I26" s="29">
        <f>4470-46</f>
        <v>4424</v>
      </c>
      <c r="J26" s="29">
        <f>4336-148</f>
        <v>4188</v>
      </c>
      <c r="K26" s="29">
        <f>60358-29</f>
        <v>60329</v>
      </c>
      <c r="L26" s="29">
        <f t="shared" si="0"/>
        <v>1454</v>
      </c>
      <c r="M26" s="29">
        <f>884-9</f>
        <v>875</v>
      </c>
      <c r="N26" s="29">
        <f>580-1</f>
        <v>579</v>
      </c>
      <c r="O26" s="29"/>
      <c r="P26" s="29"/>
      <c r="Q26" s="29">
        <f>8807+2061+1363+90</f>
        <v>12321</v>
      </c>
      <c r="R26" s="29">
        <f>18418-938+683</f>
        <v>18163</v>
      </c>
    </row>
    <row r="27" spans="1:19" s="30" customFormat="1" ht="24" x14ac:dyDescent="0.2">
      <c r="A27" s="6">
        <v>19</v>
      </c>
      <c r="B27" s="7" t="s">
        <v>155</v>
      </c>
      <c r="C27" s="29">
        <f t="shared" si="1"/>
        <v>5996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>
        <f>6000-4</f>
        <v>5996</v>
      </c>
      <c r="Q27" s="29"/>
      <c r="R27" s="29"/>
    </row>
    <row r="28" spans="1:19" s="30" customFormat="1" ht="12" x14ac:dyDescent="0.2">
      <c r="A28" s="6">
        <v>20</v>
      </c>
      <c r="B28" s="5" t="s">
        <v>26</v>
      </c>
      <c r="C28" s="29">
        <f t="shared" si="1"/>
        <v>133452</v>
      </c>
      <c r="D28" s="29">
        <f>15378-60-11</f>
        <v>15307</v>
      </c>
      <c r="E28" s="29">
        <f t="shared" si="2"/>
        <v>10249</v>
      </c>
      <c r="F28" s="29">
        <f>9896-656</f>
        <v>9240</v>
      </c>
      <c r="G28" s="29">
        <f>1054-20-25</f>
        <v>1009</v>
      </c>
      <c r="H28" s="29">
        <f>2969-403-200</f>
        <v>2366</v>
      </c>
      <c r="I28" s="29">
        <f>1921-43-88</f>
        <v>1790</v>
      </c>
      <c r="J28" s="29">
        <f>4340-146</f>
        <v>4194</v>
      </c>
      <c r="K28" s="29">
        <f>56503-135</f>
        <v>56368</v>
      </c>
      <c r="L28" s="29">
        <f t="shared" si="0"/>
        <v>1439</v>
      </c>
      <c r="M28" s="29">
        <f>893-25</f>
        <v>868</v>
      </c>
      <c r="N28" s="29">
        <f>571</f>
        <v>571</v>
      </c>
      <c r="O28" s="29"/>
      <c r="P28" s="29"/>
      <c r="Q28" s="29">
        <f>8123+2179+58</f>
        <v>10360</v>
      </c>
      <c r="R28" s="29">
        <f>31735-1054+698</f>
        <v>31379</v>
      </c>
    </row>
    <row r="29" spans="1:19" s="30" customFormat="1" ht="12" x14ac:dyDescent="0.2">
      <c r="A29" s="6">
        <v>21</v>
      </c>
      <c r="B29" s="5" t="s">
        <v>156</v>
      </c>
      <c r="C29" s="29">
        <f t="shared" si="1"/>
        <v>4532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>
        <f>4500+32</f>
        <v>4532</v>
      </c>
      <c r="Q29" s="29"/>
      <c r="R29" s="29"/>
    </row>
    <row r="30" spans="1:19" s="30" customFormat="1" ht="12" x14ac:dyDescent="0.2">
      <c r="A30" s="6">
        <v>22</v>
      </c>
      <c r="B30" s="5" t="s">
        <v>27</v>
      </c>
      <c r="C30" s="29">
        <f t="shared" si="1"/>
        <v>308780</v>
      </c>
      <c r="D30" s="29">
        <f>28044-10-5</f>
        <v>28029</v>
      </c>
      <c r="E30" s="29">
        <f t="shared" si="2"/>
        <v>26536</v>
      </c>
      <c r="F30" s="29">
        <f>24271-44</f>
        <v>24227</v>
      </c>
      <c r="G30" s="29">
        <f>2311-2</f>
        <v>2309</v>
      </c>
      <c r="H30" s="29">
        <f>7284-48</f>
        <v>7236</v>
      </c>
      <c r="I30" s="29">
        <v>1209</v>
      </c>
      <c r="J30" s="29">
        <f>12329-31</f>
        <v>12298</v>
      </c>
      <c r="K30" s="29">
        <f>118643-125</f>
        <v>118518</v>
      </c>
      <c r="L30" s="29">
        <f t="shared" si="0"/>
        <v>1374</v>
      </c>
      <c r="M30" s="29">
        <f>1024-18</f>
        <v>1006</v>
      </c>
      <c r="N30" s="29">
        <f>440-72</f>
        <v>368</v>
      </c>
      <c r="O30" s="29"/>
      <c r="P30" s="29"/>
      <c r="Q30" s="29">
        <f>40919+4893+338</f>
        <v>46150</v>
      </c>
      <c r="R30" s="29">
        <f>68178-2311+1563</f>
        <v>67430</v>
      </c>
    </row>
    <row r="31" spans="1:19" s="33" customFormat="1" ht="33.75" customHeight="1" x14ac:dyDescent="0.2">
      <c r="A31" s="6">
        <v>23</v>
      </c>
      <c r="B31" s="31" t="s">
        <v>28</v>
      </c>
      <c r="C31" s="29">
        <f t="shared" si="1"/>
        <v>35874</v>
      </c>
      <c r="D31" s="32"/>
      <c r="E31" s="29">
        <f t="shared" si="2"/>
        <v>3647</v>
      </c>
      <c r="F31" s="32">
        <f>3377-8</f>
        <v>3369</v>
      </c>
      <c r="G31" s="29">
        <v>278</v>
      </c>
      <c r="H31" s="32">
        <f>949-1</f>
        <v>948</v>
      </c>
      <c r="I31" s="32">
        <v>189</v>
      </c>
      <c r="J31" s="32">
        <f>1250-6</f>
        <v>1244</v>
      </c>
      <c r="K31" s="32">
        <f>12873-11</f>
        <v>12862</v>
      </c>
      <c r="L31" s="29"/>
      <c r="M31" s="32"/>
      <c r="N31" s="32"/>
      <c r="O31" s="32"/>
      <c r="P31" s="32"/>
      <c r="Q31" s="32">
        <f>5548+628+49</f>
        <v>6225</v>
      </c>
      <c r="R31" s="32">
        <f>10836-278+201</f>
        <v>10759</v>
      </c>
      <c r="S31" s="30"/>
    </row>
    <row r="32" spans="1:19" s="30" customFormat="1" ht="12" x14ac:dyDescent="0.2">
      <c r="A32" s="6">
        <v>24</v>
      </c>
      <c r="B32" s="5" t="s">
        <v>29</v>
      </c>
      <c r="C32" s="29">
        <f t="shared" si="1"/>
        <v>97624</v>
      </c>
      <c r="D32" s="29"/>
      <c r="E32" s="29">
        <f t="shared" si="2"/>
        <v>9502</v>
      </c>
      <c r="F32" s="29">
        <f>8670-14</f>
        <v>8656</v>
      </c>
      <c r="G32" s="29">
        <f>740+106</f>
        <v>846</v>
      </c>
      <c r="H32" s="29">
        <f>2601-8</f>
        <v>2593</v>
      </c>
      <c r="I32" s="29">
        <v>1843</v>
      </c>
      <c r="J32" s="29">
        <f>3200-33</f>
        <v>3167</v>
      </c>
      <c r="K32" s="29">
        <f>40700+2300-27</f>
        <v>42973</v>
      </c>
      <c r="L32" s="29">
        <f t="shared" si="0"/>
        <v>1461</v>
      </c>
      <c r="M32" s="29">
        <f>878-1</f>
        <v>877</v>
      </c>
      <c r="N32" s="29">
        <f>586-2</f>
        <v>584</v>
      </c>
      <c r="O32" s="29"/>
      <c r="P32" s="29"/>
      <c r="Q32" s="29">
        <f>14907+1649+115</f>
        <v>16671</v>
      </c>
      <c r="R32" s="29">
        <f>19631-740+523</f>
        <v>19414</v>
      </c>
    </row>
    <row r="33" spans="1:18" s="30" customFormat="1" ht="12" x14ac:dyDescent="0.2">
      <c r="A33" s="6">
        <v>25</v>
      </c>
      <c r="B33" s="5" t="s">
        <v>30</v>
      </c>
      <c r="C33" s="29">
        <f t="shared" si="1"/>
        <v>43292</v>
      </c>
      <c r="D33" s="29"/>
      <c r="E33" s="29">
        <f t="shared" si="2"/>
        <v>4247</v>
      </c>
      <c r="F33" s="29">
        <f>4030-96</f>
        <v>3934</v>
      </c>
      <c r="G33" s="29">
        <f>339-26</f>
        <v>313</v>
      </c>
      <c r="H33" s="29">
        <f>1088-1</f>
        <v>1087</v>
      </c>
      <c r="I33" s="29">
        <f>737-12</f>
        <v>725</v>
      </c>
      <c r="J33" s="29">
        <f>1508-46</f>
        <v>1462</v>
      </c>
      <c r="K33" s="29">
        <f>20528-22</f>
        <v>20506</v>
      </c>
      <c r="L33" s="29"/>
      <c r="M33" s="29"/>
      <c r="N33" s="29"/>
      <c r="O33" s="29"/>
      <c r="P33" s="29"/>
      <c r="Q33" s="29">
        <f>7361+770+25</f>
        <v>8156</v>
      </c>
      <c r="R33" s="29">
        <f>7219-339+229</f>
        <v>7109</v>
      </c>
    </row>
    <row r="34" spans="1:18" s="30" customFormat="1" ht="12" x14ac:dyDescent="0.2">
      <c r="A34" s="6">
        <v>26</v>
      </c>
      <c r="B34" s="5" t="s">
        <v>31</v>
      </c>
      <c r="C34" s="29">
        <f t="shared" si="1"/>
        <v>43222</v>
      </c>
      <c r="D34" s="29"/>
      <c r="E34" s="29">
        <f t="shared" si="2"/>
        <v>4341</v>
      </c>
      <c r="F34" s="29">
        <f>4012-16</f>
        <v>3996</v>
      </c>
      <c r="G34" s="29">
        <v>345</v>
      </c>
      <c r="H34" s="29">
        <f>988-7</f>
        <v>981</v>
      </c>
      <c r="I34" s="29">
        <f>1074-39</f>
        <v>1035</v>
      </c>
      <c r="J34" s="29">
        <f>1517-15</f>
        <v>1502</v>
      </c>
      <c r="K34" s="29">
        <f>17220-37</f>
        <v>17183</v>
      </c>
      <c r="L34" s="29">
        <f t="shared" si="0"/>
        <v>1452</v>
      </c>
      <c r="M34" s="29">
        <f>976-9</f>
        <v>967</v>
      </c>
      <c r="N34" s="29">
        <f>488-3</f>
        <v>485</v>
      </c>
      <c r="O34" s="29"/>
      <c r="P34" s="29"/>
      <c r="Q34" s="29">
        <f>5832+745+23</f>
        <v>6600</v>
      </c>
      <c r="R34" s="29">
        <f>10237-345+236</f>
        <v>10128</v>
      </c>
    </row>
    <row r="35" spans="1:18" s="30" customFormat="1" ht="12" x14ac:dyDescent="0.2">
      <c r="A35" s="6">
        <v>27</v>
      </c>
      <c r="B35" s="5" t="s">
        <v>32</v>
      </c>
      <c r="C35" s="29">
        <f t="shared" si="1"/>
        <v>47696</v>
      </c>
      <c r="D35" s="29"/>
      <c r="E35" s="29">
        <f t="shared" si="2"/>
        <v>4977</v>
      </c>
      <c r="F35" s="29">
        <f>4651-8</f>
        <v>4643</v>
      </c>
      <c r="G35" s="29">
        <f>424-90</f>
        <v>334</v>
      </c>
      <c r="H35" s="29">
        <f>1412-52</f>
        <v>1360</v>
      </c>
      <c r="I35" s="29">
        <f>755-47</f>
        <v>708</v>
      </c>
      <c r="J35" s="29">
        <f>1806-15</f>
        <v>1791</v>
      </c>
      <c r="K35" s="29">
        <f>16483-193</f>
        <v>16290</v>
      </c>
      <c r="L35" s="29"/>
      <c r="M35" s="29"/>
      <c r="N35" s="29"/>
      <c r="O35" s="29"/>
      <c r="P35" s="29"/>
      <c r="Q35" s="29">
        <f>6616+854+49</f>
        <v>7519</v>
      </c>
      <c r="R35" s="29">
        <f>15220-424+255</f>
        <v>15051</v>
      </c>
    </row>
    <row r="36" spans="1:18" s="30" customFormat="1" ht="12" x14ac:dyDescent="0.2">
      <c r="A36" s="6">
        <v>28</v>
      </c>
      <c r="B36" s="5" t="s">
        <v>33</v>
      </c>
      <c r="C36" s="29">
        <f t="shared" si="1"/>
        <v>49479</v>
      </c>
      <c r="D36" s="29"/>
      <c r="E36" s="29">
        <f t="shared" si="2"/>
        <v>5358</v>
      </c>
      <c r="F36" s="29">
        <f>5010-1</f>
        <v>5009</v>
      </c>
      <c r="G36" s="29">
        <f>396-47</f>
        <v>349</v>
      </c>
      <c r="H36" s="29">
        <v>1380</v>
      </c>
      <c r="I36" s="29">
        <f>546-4</f>
        <v>542</v>
      </c>
      <c r="J36" s="29">
        <f>1753-3</f>
        <v>1750</v>
      </c>
      <c r="K36" s="29">
        <f>21425-10</f>
        <v>21415</v>
      </c>
      <c r="L36" s="29"/>
      <c r="M36" s="29"/>
      <c r="N36" s="29"/>
      <c r="O36" s="29"/>
      <c r="P36" s="29"/>
      <c r="Q36" s="29">
        <f>7750+871-2</f>
        <v>8619</v>
      </c>
      <c r="R36" s="29">
        <f>10541-396+270</f>
        <v>10415</v>
      </c>
    </row>
    <row r="37" spans="1:18" s="30" customFormat="1" ht="12" x14ac:dyDescent="0.2">
      <c r="A37" s="6">
        <v>29</v>
      </c>
      <c r="B37" s="5" t="s">
        <v>34</v>
      </c>
      <c r="C37" s="29">
        <f t="shared" si="1"/>
        <v>55180</v>
      </c>
      <c r="D37" s="29"/>
      <c r="E37" s="29">
        <f t="shared" si="2"/>
        <v>4491</v>
      </c>
      <c r="F37" s="29">
        <f>4086-1</f>
        <v>4085</v>
      </c>
      <c r="G37" s="29">
        <v>406</v>
      </c>
      <c r="H37" s="29">
        <f>1273-10</f>
        <v>1263</v>
      </c>
      <c r="I37" s="29">
        <f>1421+49</f>
        <v>1470</v>
      </c>
      <c r="J37" s="29">
        <f>1500-3</f>
        <v>1497</v>
      </c>
      <c r="K37" s="29">
        <f>23885-3</f>
        <v>23882</v>
      </c>
      <c r="L37" s="29"/>
      <c r="M37" s="29"/>
      <c r="N37" s="29"/>
      <c r="O37" s="29"/>
      <c r="P37" s="29"/>
      <c r="Q37" s="29">
        <f>6550+969+33</f>
        <v>7552</v>
      </c>
      <c r="R37" s="29">
        <f>15143-406+288</f>
        <v>15025</v>
      </c>
    </row>
    <row r="38" spans="1:18" s="30" customFormat="1" ht="12" x14ac:dyDescent="0.2">
      <c r="A38" s="6">
        <v>30</v>
      </c>
      <c r="B38" s="5" t="s">
        <v>35</v>
      </c>
      <c r="C38" s="29">
        <f t="shared" si="1"/>
        <v>52253</v>
      </c>
      <c r="D38" s="29"/>
      <c r="E38" s="29">
        <f t="shared" si="2"/>
        <v>4944</v>
      </c>
      <c r="F38" s="29">
        <f>4859-275</f>
        <v>4584</v>
      </c>
      <c r="G38" s="29">
        <f>421-59-2</f>
        <v>360</v>
      </c>
      <c r="H38" s="29">
        <f>1332-85</f>
        <v>1247</v>
      </c>
      <c r="I38" s="29">
        <f>493+7</f>
        <v>500</v>
      </c>
      <c r="J38" s="29">
        <f>1738-44</f>
        <v>1694</v>
      </c>
      <c r="K38" s="29">
        <f>19780-10</f>
        <v>19770</v>
      </c>
      <c r="L38" s="29">
        <f t="shared" si="0"/>
        <v>1426</v>
      </c>
      <c r="M38" s="29">
        <f>878-37</f>
        <v>841</v>
      </c>
      <c r="N38" s="29">
        <f>586-1</f>
        <v>585</v>
      </c>
      <c r="O38" s="29"/>
      <c r="P38" s="29"/>
      <c r="Q38" s="29">
        <f>8880+909+41</f>
        <v>9830</v>
      </c>
      <c r="R38" s="29">
        <f>12995-421+268</f>
        <v>12842</v>
      </c>
    </row>
    <row r="39" spans="1:18" s="30" customFormat="1" ht="12" x14ac:dyDescent="0.2">
      <c r="A39" s="6">
        <v>31</v>
      </c>
      <c r="B39" s="5" t="s">
        <v>36</v>
      </c>
      <c r="C39" s="29">
        <f t="shared" si="1"/>
        <v>56510</v>
      </c>
      <c r="D39" s="29"/>
      <c r="E39" s="29">
        <f t="shared" si="2"/>
        <v>5760</v>
      </c>
      <c r="F39" s="29">
        <f>5250-23</f>
        <v>5227</v>
      </c>
      <c r="G39" s="29">
        <f>475+58</f>
        <v>533</v>
      </c>
      <c r="H39" s="29">
        <f>3675-20</f>
        <v>3655</v>
      </c>
      <c r="I39" s="29">
        <f>536-5</f>
        <v>531</v>
      </c>
      <c r="J39" s="29">
        <f>2340-5</f>
        <v>2335</v>
      </c>
      <c r="K39" s="29">
        <f>23596+500-21</f>
        <v>24075</v>
      </c>
      <c r="L39" s="29"/>
      <c r="M39" s="29"/>
      <c r="N39" s="29"/>
      <c r="O39" s="29"/>
      <c r="P39" s="29"/>
      <c r="Q39" s="29">
        <f>5557+973+500+14</f>
        <v>7044</v>
      </c>
      <c r="R39" s="29">
        <f>13272-475+313</f>
        <v>13110</v>
      </c>
    </row>
    <row r="40" spans="1:18" s="30" customFormat="1" ht="12" x14ac:dyDescent="0.2">
      <c r="A40" s="6">
        <v>32</v>
      </c>
      <c r="B40" s="5" t="s">
        <v>37</v>
      </c>
      <c r="C40" s="29">
        <f t="shared" si="1"/>
        <v>50585</v>
      </c>
      <c r="D40" s="29"/>
      <c r="E40" s="29">
        <f t="shared" si="2"/>
        <v>4794</v>
      </c>
      <c r="F40" s="29">
        <f>4400+100-77</f>
        <v>4423</v>
      </c>
      <c r="G40" s="29">
        <f>373-2</f>
        <v>371</v>
      </c>
      <c r="H40" s="29">
        <f>1255-5</f>
        <v>1250</v>
      </c>
      <c r="I40" s="29">
        <f>707-89</f>
        <v>618</v>
      </c>
      <c r="J40" s="29">
        <f>1500-37</f>
        <v>1463</v>
      </c>
      <c r="K40" s="29">
        <f>23203-543</f>
        <v>22660</v>
      </c>
      <c r="L40" s="29"/>
      <c r="M40" s="29"/>
      <c r="N40" s="29"/>
      <c r="O40" s="29"/>
      <c r="P40" s="29"/>
      <c r="Q40" s="29">
        <f>4477+903-47</f>
        <v>5333</v>
      </c>
      <c r="R40" s="29">
        <f>14576-373+264</f>
        <v>14467</v>
      </c>
    </row>
    <row r="41" spans="1:18" s="30" customFormat="1" ht="12" x14ac:dyDescent="0.2">
      <c r="A41" s="6">
        <v>33</v>
      </c>
      <c r="B41" s="5" t="s">
        <v>157</v>
      </c>
      <c r="C41" s="29">
        <f t="shared" si="1"/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s="30" customFormat="1" ht="12" x14ac:dyDescent="0.2">
      <c r="A42" s="6">
        <v>34</v>
      </c>
      <c r="B42" s="5" t="s">
        <v>158</v>
      </c>
      <c r="C42" s="29">
        <f t="shared" si="1"/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30" customFormat="1" ht="12" x14ac:dyDescent="0.2">
      <c r="A43" s="6">
        <v>35</v>
      </c>
      <c r="B43" s="5" t="s">
        <v>159</v>
      </c>
      <c r="C43" s="29">
        <f t="shared" si="1"/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30" customFormat="1" ht="12" x14ac:dyDescent="0.2">
      <c r="A44" s="6">
        <v>36</v>
      </c>
      <c r="B44" s="5" t="s">
        <v>160</v>
      </c>
      <c r="C44" s="29">
        <f t="shared" si="1"/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s="30" customFormat="1" ht="12" x14ac:dyDescent="0.2">
      <c r="A45" s="6">
        <v>37</v>
      </c>
      <c r="B45" s="5" t="s">
        <v>161</v>
      </c>
      <c r="C45" s="29">
        <f t="shared" si="1"/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>
        <f>1160-1160</f>
        <v>0</v>
      </c>
      <c r="Q45" s="29"/>
      <c r="R45" s="29"/>
    </row>
    <row r="46" spans="1:18" s="30" customFormat="1" ht="12" x14ac:dyDescent="0.2">
      <c r="A46" s="6">
        <v>38</v>
      </c>
      <c r="B46" s="5" t="s">
        <v>162</v>
      </c>
      <c r="C46" s="29">
        <f t="shared" si="1"/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>
        <f>200-200</f>
        <v>0</v>
      </c>
      <c r="Q46" s="29"/>
      <c r="R46" s="29"/>
    </row>
    <row r="47" spans="1:18" s="30" customFormat="1" ht="12" x14ac:dyDescent="0.2">
      <c r="A47" s="6">
        <v>39</v>
      </c>
      <c r="B47" s="5" t="s">
        <v>163</v>
      </c>
      <c r="C47" s="29">
        <f t="shared" si="1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s="30" customFormat="1" ht="12" x14ac:dyDescent="0.2">
      <c r="A48" s="6">
        <v>40</v>
      </c>
      <c r="B48" s="5" t="s">
        <v>164</v>
      </c>
      <c r="C48" s="29">
        <f t="shared" si="1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30" customFormat="1" ht="12" x14ac:dyDescent="0.2">
      <c r="A49" s="6">
        <v>41</v>
      </c>
      <c r="B49" s="5" t="s">
        <v>1</v>
      </c>
      <c r="C49" s="29">
        <f t="shared" si="1"/>
        <v>69032</v>
      </c>
      <c r="D49" s="29">
        <f>11711-176-77</f>
        <v>11458</v>
      </c>
      <c r="E49" s="29">
        <f t="shared" si="2"/>
        <v>5127</v>
      </c>
      <c r="F49" s="29">
        <f>4857-76</f>
        <v>4781</v>
      </c>
      <c r="G49" s="29">
        <f>463-113-4</f>
        <v>346</v>
      </c>
      <c r="H49" s="29">
        <f>1370-69</f>
        <v>1301</v>
      </c>
      <c r="I49" s="29">
        <f>328+27</f>
        <v>355</v>
      </c>
      <c r="J49" s="29">
        <f>2051-350</f>
        <v>1701</v>
      </c>
      <c r="K49" s="29">
        <f>30213-99-2528</f>
        <v>27586</v>
      </c>
      <c r="L49" s="29">
        <f t="shared" si="0"/>
        <v>1457</v>
      </c>
      <c r="M49" s="29">
        <f>1200-6</f>
        <v>1194</v>
      </c>
      <c r="N49" s="29">
        <f>264-1</f>
        <v>263</v>
      </c>
      <c r="O49" s="29"/>
      <c r="P49" s="29"/>
      <c r="Q49" s="29">
        <f>7858+1042-20</f>
        <v>8880</v>
      </c>
      <c r="R49" s="29">
        <f>11285-463+345</f>
        <v>11167</v>
      </c>
    </row>
    <row r="50" spans="1:18" s="30" customFormat="1" ht="12" x14ac:dyDescent="0.2">
      <c r="A50" s="6">
        <v>42</v>
      </c>
      <c r="B50" s="5" t="s">
        <v>38</v>
      </c>
      <c r="C50" s="29">
        <f t="shared" si="1"/>
        <v>37723</v>
      </c>
      <c r="D50" s="29"/>
      <c r="E50" s="29">
        <f t="shared" si="2"/>
        <v>3764</v>
      </c>
      <c r="F50" s="29">
        <f>3561-57</f>
        <v>3504</v>
      </c>
      <c r="G50" s="29">
        <f>321-59-2</f>
        <v>260</v>
      </c>
      <c r="H50" s="29">
        <f>1000-44</f>
        <v>956</v>
      </c>
      <c r="I50" s="29">
        <f>3187-463-934</f>
        <v>1790</v>
      </c>
      <c r="J50" s="29">
        <f>1414-67</f>
        <v>1347</v>
      </c>
      <c r="K50" s="29">
        <f>19463+85</f>
        <v>19548</v>
      </c>
      <c r="L50" s="29"/>
      <c r="M50" s="29"/>
      <c r="N50" s="29"/>
      <c r="O50" s="29"/>
      <c r="P50" s="29"/>
      <c r="Q50" s="29">
        <f>2801+690+2</f>
        <v>3493</v>
      </c>
      <c r="R50" s="29">
        <f>6940-321+206</f>
        <v>6825</v>
      </c>
    </row>
    <row r="51" spans="1:18" s="30" customFormat="1" ht="12" x14ac:dyDescent="0.2">
      <c r="A51" s="6">
        <v>43</v>
      </c>
      <c r="B51" s="5" t="s">
        <v>39</v>
      </c>
      <c r="C51" s="29">
        <f t="shared" si="1"/>
        <v>45761</v>
      </c>
      <c r="D51" s="29"/>
      <c r="E51" s="29">
        <f t="shared" si="2"/>
        <v>4574</v>
      </c>
      <c r="F51" s="29">
        <f>4276-85</f>
        <v>4191</v>
      </c>
      <c r="G51" s="29">
        <f>384-1</f>
        <v>383</v>
      </c>
      <c r="H51" s="29">
        <f>958-45</f>
        <v>913</v>
      </c>
      <c r="I51" s="29">
        <f>432-10</f>
        <v>422</v>
      </c>
      <c r="J51" s="29">
        <f>1663-8</f>
        <v>1655</v>
      </c>
      <c r="K51" s="29">
        <f>22264-1194</f>
        <v>21070</v>
      </c>
      <c r="L51" s="29"/>
      <c r="M51" s="29"/>
      <c r="N51" s="29"/>
      <c r="O51" s="29"/>
      <c r="P51" s="29"/>
      <c r="Q51" s="29">
        <f>4884+827+35</f>
        <v>5746</v>
      </c>
      <c r="R51" s="29">
        <f>11512-384+253</f>
        <v>11381</v>
      </c>
    </row>
    <row r="52" spans="1:18" s="30" customFormat="1" ht="12" x14ac:dyDescent="0.2">
      <c r="A52" s="6">
        <v>44</v>
      </c>
      <c r="B52" s="5" t="s">
        <v>40</v>
      </c>
      <c r="C52" s="29">
        <f t="shared" si="1"/>
        <v>36318</v>
      </c>
      <c r="D52" s="29"/>
      <c r="E52" s="29">
        <f t="shared" si="2"/>
        <v>3493</v>
      </c>
      <c r="F52" s="29">
        <f>3291-31</f>
        <v>3260</v>
      </c>
      <c r="G52" s="29">
        <f>291-54-4</f>
        <v>233</v>
      </c>
      <c r="H52" s="29">
        <f>900-9</f>
        <v>891</v>
      </c>
      <c r="I52" s="29">
        <f>378-19</f>
        <v>359</v>
      </c>
      <c r="J52" s="29">
        <f>1000-42</f>
        <v>958</v>
      </c>
      <c r="K52" s="29">
        <f>17938-224</f>
        <v>17714</v>
      </c>
      <c r="L52" s="29"/>
      <c r="M52" s="29"/>
      <c r="N52" s="29"/>
      <c r="O52" s="29"/>
      <c r="P52" s="29"/>
      <c r="Q52" s="29">
        <f>6809+650-89</f>
        <v>7370</v>
      </c>
      <c r="R52" s="29">
        <f>5634-291+190</f>
        <v>5533</v>
      </c>
    </row>
    <row r="53" spans="1:18" s="30" customFormat="1" ht="12" x14ac:dyDescent="0.2">
      <c r="A53" s="6">
        <v>45</v>
      </c>
      <c r="B53" s="5" t="s">
        <v>41</v>
      </c>
      <c r="C53" s="29">
        <f t="shared" si="1"/>
        <v>54520</v>
      </c>
      <c r="D53" s="29"/>
      <c r="E53" s="29">
        <f t="shared" si="2"/>
        <v>5291</v>
      </c>
      <c r="F53" s="29">
        <f>4894-5</f>
        <v>4889</v>
      </c>
      <c r="G53" s="29">
        <v>402</v>
      </c>
      <c r="H53" s="29">
        <f>1224-126</f>
        <v>1098</v>
      </c>
      <c r="I53" s="29">
        <f>1297-1</f>
        <v>1296</v>
      </c>
      <c r="J53" s="29">
        <f>1858-15</f>
        <v>1843</v>
      </c>
      <c r="K53" s="29">
        <f>25448-59</f>
        <v>25389</v>
      </c>
      <c r="L53" s="29"/>
      <c r="M53" s="29"/>
      <c r="N53" s="29"/>
      <c r="O53" s="29"/>
      <c r="P53" s="29"/>
      <c r="Q53" s="29">
        <f>8649+960+52</f>
        <v>9661</v>
      </c>
      <c r="R53" s="29">
        <f>10059-402+285</f>
        <v>9942</v>
      </c>
    </row>
    <row r="54" spans="1:18" s="30" customFormat="1" ht="24" x14ac:dyDescent="0.2">
      <c r="A54" s="6">
        <v>46</v>
      </c>
      <c r="B54" s="7" t="s">
        <v>165</v>
      </c>
      <c r="C54" s="29">
        <f t="shared" si="1"/>
        <v>196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>
        <f>200-4</f>
        <v>196</v>
      </c>
      <c r="Q54" s="29"/>
      <c r="R54" s="29"/>
    </row>
    <row r="55" spans="1:18" s="30" customFormat="1" ht="12" x14ac:dyDescent="0.2">
      <c r="A55" s="6">
        <v>47</v>
      </c>
      <c r="B55" s="5" t="s">
        <v>42</v>
      </c>
      <c r="C55" s="29">
        <f t="shared" si="1"/>
        <v>131941</v>
      </c>
      <c r="D55" s="29">
        <f>16701-43-12</f>
        <v>16646</v>
      </c>
      <c r="E55" s="29">
        <f t="shared" si="2"/>
        <v>9403</v>
      </c>
      <c r="F55" s="29">
        <f>10200-1553</f>
        <v>8647</v>
      </c>
      <c r="G55" s="29">
        <f>928-125-21-26</f>
        <v>756</v>
      </c>
      <c r="H55" s="29">
        <f>2550-600-206</f>
        <v>1744</v>
      </c>
      <c r="I55" s="29">
        <f>2188-42</f>
        <v>2146</v>
      </c>
      <c r="J55" s="29">
        <f>4078-57</f>
        <v>4021</v>
      </c>
      <c r="K55" s="29">
        <f>60726-21</f>
        <v>60705</v>
      </c>
      <c r="L55" s="29">
        <f t="shared" si="0"/>
        <v>1451</v>
      </c>
      <c r="M55" s="29">
        <f>1025-11</f>
        <v>1014</v>
      </c>
      <c r="N55" s="29">
        <f>439-2</f>
        <v>437</v>
      </c>
      <c r="O55" s="29"/>
      <c r="P55" s="29"/>
      <c r="Q55" s="29">
        <f>10176+2123+600+87</f>
        <v>12986</v>
      </c>
      <c r="R55" s="29">
        <f>23050-928+717</f>
        <v>22839</v>
      </c>
    </row>
    <row r="56" spans="1:18" s="30" customFormat="1" ht="24" x14ac:dyDescent="0.2">
      <c r="A56" s="6">
        <v>48</v>
      </c>
      <c r="B56" s="7" t="s">
        <v>166</v>
      </c>
      <c r="C56" s="29">
        <f t="shared" si="1"/>
        <v>5345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>
        <f>5300+45</f>
        <v>5345</v>
      </c>
      <c r="Q56" s="29"/>
      <c r="R56" s="29"/>
    </row>
    <row r="57" spans="1:18" s="30" customFormat="1" ht="12" x14ac:dyDescent="0.2">
      <c r="A57" s="6">
        <v>49</v>
      </c>
      <c r="B57" s="5" t="s">
        <v>43</v>
      </c>
      <c r="C57" s="29">
        <f t="shared" si="1"/>
        <v>119609</v>
      </c>
      <c r="D57" s="29"/>
      <c r="E57" s="29">
        <f t="shared" si="2"/>
        <v>8974</v>
      </c>
      <c r="F57" s="29">
        <f>9065-892</f>
        <v>8173</v>
      </c>
      <c r="G57" s="29">
        <f>862-61</f>
        <v>801</v>
      </c>
      <c r="H57" s="29">
        <f>2306-369-85</f>
        <v>1852</v>
      </c>
      <c r="I57" s="29">
        <f>1289-42-85</f>
        <v>1162</v>
      </c>
      <c r="J57" s="29">
        <f>3185-25</f>
        <v>3160</v>
      </c>
      <c r="K57" s="29">
        <f>62945-134</f>
        <v>62811</v>
      </c>
      <c r="L57" s="29"/>
      <c r="M57" s="29"/>
      <c r="N57" s="29"/>
      <c r="O57" s="29"/>
      <c r="P57" s="29"/>
      <c r="Q57" s="29">
        <f>14282+2120+369-49</f>
        <v>16722</v>
      </c>
      <c r="R57" s="29">
        <f>25123-862+667</f>
        <v>24928</v>
      </c>
    </row>
    <row r="58" spans="1:18" s="30" customFormat="1" ht="12" x14ac:dyDescent="0.2">
      <c r="A58" s="6">
        <v>50</v>
      </c>
      <c r="B58" s="5" t="s">
        <v>44</v>
      </c>
      <c r="C58" s="29">
        <f t="shared" si="1"/>
        <v>62258</v>
      </c>
      <c r="D58" s="29"/>
      <c r="E58" s="29">
        <f t="shared" si="2"/>
        <v>5486</v>
      </c>
      <c r="F58" s="29">
        <f>5733-715</f>
        <v>5018</v>
      </c>
      <c r="G58" s="29">
        <f>469-1</f>
        <v>468</v>
      </c>
      <c r="H58" s="29">
        <f>1580-560</f>
        <v>1020</v>
      </c>
      <c r="I58" s="29">
        <f>1506-142-286</f>
        <v>1078</v>
      </c>
      <c r="J58" s="29">
        <f>2135-10-390</f>
        <v>1735</v>
      </c>
      <c r="K58" s="29">
        <f>35013-62</f>
        <v>34951</v>
      </c>
      <c r="L58" s="29"/>
      <c r="M58" s="29"/>
      <c r="N58" s="29"/>
      <c r="O58" s="29"/>
      <c r="P58" s="29"/>
      <c r="Q58" s="29">
        <f>5400+1142-323</f>
        <v>6219</v>
      </c>
      <c r="R58" s="29">
        <f>11890-469+348</f>
        <v>11769</v>
      </c>
    </row>
    <row r="59" spans="1:18" s="30" customFormat="1" ht="12" x14ac:dyDescent="0.2">
      <c r="A59" s="6">
        <v>51</v>
      </c>
      <c r="B59" s="5" t="s">
        <v>45</v>
      </c>
      <c r="C59" s="29">
        <f t="shared" si="1"/>
        <v>31420</v>
      </c>
      <c r="D59" s="29"/>
      <c r="E59" s="29">
        <f t="shared" si="2"/>
        <v>3006</v>
      </c>
      <c r="F59" s="29">
        <f>2942-117</f>
        <v>2825</v>
      </c>
      <c r="G59" s="29">
        <f>247-65-1</f>
        <v>181</v>
      </c>
      <c r="H59" s="29">
        <f>883-120</f>
        <v>763</v>
      </c>
      <c r="I59" s="29">
        <f>1881+27</f>
        <v>1908</v>
      </c>
      <c r="J59" s="29">
        <f>1109-23</f>
        <v>1086</v>
      </c>
      <c r="K59" s="29">
        <f>15682-188</f>
        <v>15494</v>
      </c>
      <c r="L59" s="29"/>
      <c r="M59" s="29"/>
      <c r="N59" s="29"/>
      <c r="O59" s="29"/>
      <c r="P59" s="29"/>
      <c r="Q59" s="29">
        <f>4082+560-35</f>
        <v>4607</v>
      </c>
      <c r="R59" s="29">
        <f>4638-247+165</f>
        <v>4556</v>
      </c>
    </row>
    <row r="60" spans="1:18" s="30" customFormat="1" ht="12" x14ac:dyDescent="0.2">
      <c r="A60" s="6">
        <v>52</v>
      </c>
      <c r="B60" s="5" t="s">
        <v>167</v>
      </c>
      <c r="C60" s="29">
        <f t="shared" si="1"/>
        <v>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30" customFormat="1" ht="12" x14ac:dyDescent="0.2">
      <c r="A61" s="6">
        <v>53</v>
      </c>
      <c r="B61" s="5" t="s">
        <v>168</v>
      </c>
      <c r="C61" s="29">
        <f t="shared" si="1"/>
        <v>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30" customFormat="1" ht="12" x14ac:dyDescent="0.2">
      <c r="A62" s="6">
        <v>54</v>
      </c>
      <c r="B62" s="5" t="s">
        <v>46</v>
      </c>
      <c r="C62" s="29">
        <f t="shared" si="1"/>
        <v>62749</v>
      </c>
      <c r="D62" s="29"/>
      <c r="E62" s="29">
        <f t="shared" si="2"/>
        <v>12996</v>
      </c>
      <c r="F62" s="29">
        <f>12000-63</f>
        <v>11937</v>
      </c>
      <c r="G62" s="29">
        <f>1154-93-2</f>
        <v>1059</v>
      </c>
      <c r="H62" s="29">
        <f>3600-88</f>
        <v>3512</v>
      </c>
      <c r="I62" s="29"/>
      <c r="J62" s="29">
        <f>5754-42</f>
        <v>5712</v>
      </c>
      <c r="K62" s="29"/>
      <c r="L62" s="29"/>
      <c r="M62" s="29"/>
      <c r="N62" s="29"/>
      <c r="O62" s="29"/>
      <c r="P62" s="29"/>
      <c r="Q62" s="29">
        <f>8100+1913+1667+88</f>
        <v>11768</v>
      </c>
      <c r="R62" s="29">
        <f>29278-1154+637</f>
        <v>28761</v>
      </c>
    </row>
    <row r="63" spans="1:18" s="30" customFormat="1" ht="24" x14ac:dyDescent="0.2">
      <c r="A63" s="6">
        <v>55</v>
      </c>
      <c r="B63" s="7" t="s">
        <v>169</v>
      </c>
      <c r="C63" s="29">
        <f t="shared" si="1"/>
        <v>105939</v>
      </c>
      <c r="D63" s="29">
        <f>35974-6-4</f>
        <v>35964</v>
      </c>
      <c r="E63" s="29">
        <f t="shared" si="2"/>
        <v>13980</v>
      </c>
      <c r="F63" s="29">
        <f>12820-17</f>
        <v>12803</v>
      </c>
      <c r="G63" s="29">
        <v>1177</v>
      </c>
      <c r="H63" s="29">
        <f>3846-2</f>
        <v>3844</v>
      </c>
      <c r="I63" s="29"/>
      <c r="J63" s="29">
        <f>7044-2</f>
        <v>7042</v>
      </c>
      <c r="K63" s="29"/>
      <c r="L63" s="29">
        <f t="shared" si="0"/>
        <v>1463</v>
      </c>
      <c r="M63" s="29">
        <f>879-1</f>
        <v>878</v>
      </c>
      <c r="N63" s="29">
        <v>585</v>
      </c>
      <c r="O63" s="29"/>
      <c r="P63" s="29"/>
      <c r="Q63" s="29">
        <f>21700+2133+198</f>
        <v>24031</v>
      </c>
      <c r="R63" s="29">
        <f>20120-1177+672</f>
        <v>19615</v>
      </c>
    </row>
    <row r="64" spans="1:18" s="30" customFormat="1" ht="12" x14ac:dyDescent="0.2">
      <c r="A64" s="6">
        <v>56</v>
      </c>
      <c r="B64" s="7" t="s">
        <v>47</v>
      </c>
      <c r="C64" s="29">
        <f t="shared" si="1"/>
        <v>98470</v>
      </c>
      <c r="D64" s="29"/>
      <c r="E64" s="29">
        <f t="shared" si="2"/>
        <v>13770</v>
      </c>
      <c r="F64" s="29">
        <f>13160-629</f>
        <v>12531</v>
      </c>
      <c r="G64" s="29">
        <f>1240-1</f>
        <v>1239</v>
      </c>
      <c r="H64" s="29">
        <f>3608-78</f>
        <v>3530</v>
      </c>
      <c r="I64" s="29">
        <v>270</v>
      </c>
      <c r="J64" s="29">
        <f>6222-147</f>
        <v>6075</v>
      </c>
      <c r="K64" s="29">
        <f>31890-306</f>
        <v>31584</v>
      </c>
      <c r="L64" s="29">
        <f t="shared" si="0"/>
        <v>1424</v>
      </c>
      <c r="M64" s="29">
        <f>878-39</f>
        <v>839</v>
      </c>
      <c r="N64" s="29">
        <f>586-1</f>
        <v>585</v>
      </c>
      <c r="O64" s="29"/>
      <c r="P64" s="29"/>
      <c r="Q64" s="29">
        <f>10575+2214-255</f>
        <v>12534</v>
      </c>
      <c r="R64" s="29">
        <f>29814-1240+709</f>
        <v>29283</v>
      </c>
    </row>
    <row r="65" spans="1:19" s="30" customFormat="1" ht="24" x14ac:dyDescent="0.2">
      <c r="A65" s="6">
        <v>57</v>
      </c>
      <c r="B65" s="7" t="s">
        <v>170</v>
      </c>
      <c r="C65" s="29">
        <f t="shared" si="1"/>
        <v>59670</v>
      </c>
      <c r="D65" s="29"/>
      <c r="E65" s="29">
        <f t="shared" si="2"/>
        <v>5299</v>
      </c>
      <c r="F65" s="29">
        <f>4800-12</f>
        <v>4788</v>
      </c>
      <c r="G65" s="29">
        <f>513-2</f>
        <v>511</v>
      </c>
      <c r="H65" s="29">
        <f>1440-106</f>
        <v>1334</v>
      </c>
      <c r="I65" s="29">
        <v>36</v>
      </c>
      <c r="J65" s="29">
        <f>2704-14</f>
        <v>2690</v>
      </c>
      <c r="K65" s="29">
        <f>30484+14</f>
        <v>30498</v>
      </c>
      <c r="L65" s="29"/>
      <c r="M65" s="29"/>
      <c r="N65" s="29"/>
      <c r="O65" s="29"/>
      <c r="P65" s="29"/>
      <c r="Q65" s="29">
        <f>8500+1124+77</f>
        <v>9701</v>
      </c>
      <c r="R65" s="29">
        <f>10253-513+372</f>
        <v>10112</v>
      </c>
    </row>
    <row r="66" spans="1:19" s="33" customFormat="1" ht="42.75" customHeight="1" x14ac:dyDescent="0.2">
      <c r="A66" s="6">
        <v>58</v>
      </c>
      <c r="B66" s="34" t="s">
        <v>171</v>
      </c>
      <c r="C66" s="29">
        <f t="shared" si="1"/>
        <v>82865</v>
      </c>
      <c r="D66" s="32"/>
      <c r="E66" s="29">
        <f t="shared" si="2"/>
        <v>7664</v>
      </c>
      <c r="F66" s="32">
        <f>7073-57</f>
        <v>7016</v>
      </c>
      <c r="G66" s="29">
        <f>652-4</f>
        <v>648</v>
      </c>
      <c r="H66" s="32">
        <f>2127-103</f>
        <v>2024</v>
      </c>
      <c r="I66" s="32">
        <f>495-5</f>
        <v>490</v>
      </c>
      <c r="J66" s="32">
        <f>3101-66</f>
        <v>3035</v>
      </c>
      <c r="K66" s="32">
        <f>36725-413</f>
        <v>36312</v>
      </c>
      <c r="L66" s="29">
        <f t="shared" si="0"/>
        <v>1462</v>
      </c>
      <c r="M66" s="32">
        <f>879-1</f>
        <v>878</v>
      </c>
      <c r="N66" s="32">
        <f>585-1</f>
        <v>584</v>
      </c>
      <c r="O66" s="32"/>
      <c r="P66" s="32"/>
      <c r="Q66" s="32">
        <f>9626+1439+82</f>
        <v>11147</v>
      </c>
      <c r="R66" s="32">
        <f>20920-652+463</f>
        <v>20731</v>
      </c>
      <c r="S66" s="30"/>
    </row>
    <row r="67" spans="1:19" s="30" customFormat="1" ht="25.5" customHeight="1" x14ac:dyDescent="0.2">
      <c r="A67" s="6">
        <v>59</v>
      </c>
      <c r="B67" s="7" t="s">
        <v>101</v>
      </c>
      <c r="C67" s="29">
        <f t="shared" si="1"/>
        <v>1399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>
        <f>1400-1</f>
        <v>1399</v>
      </c>
      <c r="P67" s="29"/>
      <c r="Q67" s="29"/>
      <c r="R67" s="29"/>
    </row>
    <row r="68" spans="1:19" s="30" customFormat="1" ht="12" x14ac:dyDescent="0.2">
      <c r="A68" s="6">
        <v>60</v>
      </c>
      <c r="B68" s="5" t="s">
        <v>48</v>
      </c>
      <c r="C68" s="29">
        <f t="shared" si="1"/>
        <v>215349</v>
      </c>
      <c r="D68" s="29">
        <f>10453-24</f>
        <v>10429</v>
      </c>
      <c r="E68" s="29"/>
      <c r="F68" s="29"/>
      <c r="G68" s="29"/>
      <c r="H68" s="29"/>
      <c r="I68" s="29">
        <f>2851-50-101</f>
        <v>2700</v>
      </c>
      <c r="J68" s="29"/>
      <c r="K68" s="29">
        <f>172192-131</f>
        <v>172061</v>
      </c>
      <c r="L68" s="29"/>
      <c r="M68" s="29"/>
      <c r="N68" s="29"/>
      <c r="O68" s="29"/>
      <c r="P68" s="29"/>
      <c r="Q68" s="29">
        <f>2041+1568+30</f>
        <v>3639</v>
      </c>
      <c r="R68" s="29">
        <f>26003+517</f>
        <v>26520</v>
      </c>
    </row>
    <row r="69" spans="1:19" s="30" customFormat="1" ht="12" x14ac:dyDescent="0.2">
      <c r="A69" s="6">
        <v>61</v>
      </c>
      <c r="B69" s="5" t="s">
        <v>49</v>
      </c>
      <c r="C69" s="29">
        <f t="shared" si="1"/>
        <v>10352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>
        <f>10266+86</f>
        <v>10352</v>
      </c>
      <c r="Q69" s="29"/>
      <c r="R69" s="29"/>
    </row>
    <row r="70" spans="1:19" s="30" customFormat="1" ht="12" x14ac:dyDescent="0.2">
      <c r="A70" s="6">
        <v>62</v>
      </c>
      <c r="B70" s="5" t="s">
        <v>172</v>
      </c>
      <c r="C70" s="29">
        <f t="shared" si="1"/>
        <v>11246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>
        <f>11200+46</f>
        <v>11246</v>
      </c>
      <c r="Q70" s="29"/>
      <c r="R70" s="29"/>
    </row>
    <row r="71" spans="1:19" s="30" customFormat="1" ht="24" x14ac:dyDescent="0.2">
      <c r="A71" s="6">
        <v>63</v>
      </c>
      <c r="B71" s="7" t="s">
        <v>102</v>
      </c>
      <c r="C71" s="29">
        <f t="shared" si="1"/>
        <v>7755</v>
      </c>
      <c r="D71" s="29"/>
      <c r="E71" s="29">
        <f t="shared" si="2"/>
        <v>2545</v>
      </c>
      <c r="F71" s="29">
        <f>2379+2</f>
        <v>2381</v>
      </c>
      <c r="G71" s="29">
        <v>164</v>
      </c>
      <c r="H71" s="29">
        <f>713-5</f>
        <v>708</v>
      </c>
      <c r="I71" s="29"/>
      <c r="J71" s="29">
        <v>1149</v>
      </c>
      <c r="K71" s="29"/>
      <c r="L71" s="29"/>
      <c r="M71" s="29"/>
      <c r="N71" s="29"/>
      <c r="O71" s="29"/>
      <c r="P71" s="29"/>
      <c r="Q71" s="29">
        <f>782</f>
        <v>782</v>
      </c>
      <c r="R71" s="29">
        <f>2641-164+94</f>
        <v>2571</v>
      </c>
    </row>
    <row r="72" spans="1:19" s="30" customFormat="1" ht="12" x14ac:dyDescent="0.2">
      <c r="A72" s="6">
        <v>64</v>
      </c>
      <c r="B72" s="5" t="s">
        <v>50</v>
      </c>
      <c r="C72" s="29">
        <f t="shared" si="1"/>
        <v>184585</v>
      </c>
      <c r="D72" s="29">
        <f>8810-215-29</f>
        <v>8566</v>
      </c>
      <c r="E72" s="29">
        <f t="shared" si="2"/>
        <v>15831</v>
      </c>
      <c r="F72" s="29">
        <f>16601-174-2661</f>
        <v>13766</v>
      </c>
      <c r="G72" s="29">
        <f>1452+684-30-41</f>
        <v>2065</v>
      </c>
      <c r="H72" s="29">
        <f>4150-477-613-40</f>
        <v>3020</v>
      </c>
      <c r="I72" s="29">
        <f>3127+127</f>
        <v>3254</v>
      </c>
      <c r="J72" s="29">
        <f>6209-62</f>
        <v>6147</v>
      </c>
      <c r="K72" s="29">
        <f>77822-13</f>
        <v>77809</v>
      </c>
      <c r="L72" s="29"/>
      <c r="M72" s="29"/>
      <c r="N72" s="29"/>
      <c r="O72" s="29"/>
      <c r="P72" s="29"/>
      <c r="Q72" s="29">
        <f>30930+3136-357</f>
        <v>33709</v>
      </c>
      <c r="R72" s="29">
        <f>36708-1452+993</f>
        <v>36249</v>
      </c>
    </row>
    <row r="73" spans="1:19" s="30" customFormat="1" ht="12" x14ac:dyDescent="0.2">
      <c r="A73" s="6">
        <v>65</v>
      </c>
      <c r="B73" s="5" t="s">
        <v>51</v>
      </c>
      <c r="C73" s="29">
        <f t="shared" si="1"/>
        <v>145475</v>
      </c>
      <c r="D73" s="29">
        <f>14973-34-6</f>
        <v>14933</v>
      </c>
      <c r="E73" s="29">
        <f t="shared" si="2"/>
        <v>12748</v>
      </c>
      <c r="F73" s="29">
        <f>12082-308</f>
        <v>11774</v>
      </c>
      <c r="G73" s="29">
        <f>981-7</f>
        <v>974</v>
      </c>
      <c r="H73" s="29">
        <f>2840-353</f>
        <v>2487</v>
      </c>
      <c r="I73" s="29">
        <f>2227-73-146</f>
        <v>2008</v>
      </c>
      <c r="J73" s="29">
        <f>4720-25</f>
        <v>4695</v>
      </c>
      <c r="K73" s="29">
        <f>52816-485</f>
        <v>52331</v>
      </c>
      <c r="L73" s="29"/>
      <c r="M73" s="29"/>
      <c r="N73" s="29"/>
      <c r="O73" s="29"/>
      <c r="P73" s="29"/>
      <c r="Q73" s="29">
        <f>16372+2313-541</f>
        <v>18144</v>
      </c>
      <c r="R73" s="29">
        <f>37419+710</f>
        <v>38129</v>
      </c>
    </row>
    <row r="74" spans="1:19" s="33" customFormat="1" ht="32.25" customHeight="1" x14ac:dyDescent="0.2">
      <c r="A74" s="6">
        <v>66</v>
      </c>
      <c r="B74" s="34" t="s">
        <v>52</v>
      </c>
      <c r="C74" s="29">
        <f t="shared" ref="C74:C137" si="3">D74+E74+H74+I74+J74+K74+L74+O74+P74+Q74+R74</f>
        <v>48081</v>
      </c>
      <c r="D74" s="32"/>
      <c r="E74" s="29">
        <f t="shared" ref="E74:E137" si="4">F74+G74</f>
        <v>4827</v>
      </c>
      <c r="F74" s="32">
        <f>4507-224</f>
        <v>4283</v>
      </c>
      <c r="G74" s="29">
        <v>544</v>
      </c>
      <c r="H74" s="32">
        <f>1154-257</f>
        <v>897</v>
      </c>
      <c r="I74" s="32">
        <f>962-36-72</f>
        <v>854</v>
      </c>
      <c r="J74" s="32">
        <f>1667-32</f>
        <v>1635</v>
      </c>
      <c r="K74" s="32">
        <f>21004-27</f>
        <v>20977</v>
      </c>
      <c r="L74" s="29"/>
      <c r="M74" s="32"/>
      <c r="N74" s="32"/>
      <c r="O74" s="32"/>
      <c r="P74" s="32"/>
      <c r="Q74" s="32">
        <f>5788+850</f>
        <v>6638</v>
      </c>
      <c r="R74" s="32">
        <f>12518-544+279</f>
        <v>12253</v>
      </c>
      <c r="S74" s="30"/>
    </row>
    <row r="75" spans="1:19" s="30" customFormat="1" ht="12" x14ac:dyDescent="0.2">
      <c r="A75" s="6">
        <v>67</v>
      </c>
      <c r="B75" s="5" t="s">
        <v>53</v>
      </c>
      <c r="C75" s="29">
        <f t="shared" si="3"/>
        <v>170562</v>
      </c>
      <c r="D75" s="29"/>
      <c r="E75" s="29">
        <f t="shared" si="4"/>
        <v>17350</v>
      </c>
      <c r="F75" s="29">
        <f>16323-374</f>
        <v>15949</v>
      </c>
      <c r="G75" s="29">
        <f>1409-8</f>
        <v>1401</v>
      </c>
      <c r="H75" s="29">
        <f>4897-483-107</f>
        <v>4307</v>
      </c>
      <c r="I75" s="29">
        <f>3853-72-144</f>
        <v>3637</v>
      </c>
      <c r="J75" s="29">
        <f>7107-157</f>
        <v>6950</v>
      </c>
      <c r="K75" s="29">
        <f>76844-36</f>
        <v>76808</v>
      </c>
      <c r="L75" s="29">
        <f t="shared" si="0"/>
        <v>1429</v>
      </c>
      <c r="M75" s="29">
        <f>1164-32</f>
        <v>1132</v>
      </c>
      <c r="N75" s="29">
        <f>300-3</f>
        <v>297</v>
      </c>
      <c r="O75" s="29"/>
      <c r="P75" s="29"/>
      <c r="Q75" s="29">
        <f>20114+2992+160</f>
        <v>23266</v>
      </c>
      <c r="R75" s="29">
        <f>37254-1409+970</f>
        <v>36815</v>
      </c>
    </row>
    <row r="76" spans="1:19" s="30" customFormat="1" ht="12" x14ac:dyDescent="0.2">
      <c r="A76" s="6">
        <v>68</v>
      </c>
      <c r="B76" s="5" t="s">
        <v>54</v>
      </c>
      <c r="C76" s="29">
        <f t="shared" si="3"/>
        <v>117061</v>
      </c>
      <c r="D76" s="29">
        <f>24093-26-6</f>
        <v>24061</v>
      </c>
      <c r="E76" s="29">
        <f t="shared" si="4"/>
        <v>25943</v>
      </c>
      <c r="F76" s="29">
        <f>24112-343</f>
        <v>23769</v>
      </c>
      <c r="G76" s="29">
        <f>2061+114-1</f>
        <v>2174</v>
      </c>
      <c r="H76" s="29">
        <f>6028-88</f>
        <v>5940</v>
      </c>
      <c r="I76" s="29">
        <v>0</v>
      </c>
      <c r="J76" s="29">
        <f>13198-103</f>
        <v>13095</v>
      </c>
      <c r="K76" s="29">
        <v>0</v>
      </c>
      <c r="L76" s="29">
        <f t="shared" si="0"/>
        <v>1437</v>
      </c>
      <c r="M76" s="29">
        <f>1025-25</f>
        <v>1000</v>
      </c>
      <c r="N76" s="29">
        <f>439-2</f>
        <v>437</v>
      </c>
      <c r="O76" s="29"/>
      <c r="P76" s="29"/>
      <c r="Q76" s="29">
        <f>27978-16500+3413+96</f>
        <v>14987</v>
      </c>
      <c r="R76" s="29">
        <f>32488-2061+1171</f>
        <v>31598</v>
      </c>
    </row>
    <row r="77" spans="1:19" s="33" customFormat="1" ht="33" customHeight="1" x14ac:dyDescent="0.2">
      <c r="A77" s="6">
        <v>69</v>
      </c>
      <c r="B77" s="34" t="s">
        <v>55</v>
      </c>
      <c r="C77" s="29">
        <f t="shared" si="3"/>
        <v>130608</v>
      </c>
      <c r="D77" s="32"/>
      <c r="E77" s="29"/>
      <c r="F77" s="32"/>
      <c r="G77" s="29"/>
      <c r="H77" s="32"/>
      <c r="I77" s="32">
        <f>1800+378</f>
        <v>2178</v>
      </c>
      <c r="J77" s="32"/>
      <c r="K77" s="32">
        <f>117731-1033-19</f>
        <v>116679</v>
      </c>
      <c r="L77" s="29"/>
      <c r="M77" s="32"/>
      <c r="N77" s="32"/>
      <c r="O77" s="32"/>
      <c r="P77" s="32"/>
      <c r="Q77" s="32">
        <f>3416+1003+41</f>
        <v>4460</v>
      </c>
      <c r="R77" s="32">
        <f>7013+278</f>
        <v>7291</v>
      </c>
      <c r="S77" s="30"/>
    </row>
    <row r="78" spans="1:19" s="33" customFormat="1" ht="14.25" customHeight="1" x14ac:dyDescent="0.2">
      <c r="A78" s="6">
        <v>70</v>
      </c>
      <c r="B78" s="7" t="s">
        <v>173</v>
      </c>
      <c r="C78" s="29">
        <f t="shared" si="3"/>
        <v>11636</v>
      </c>
      <c r="D78" s="32"/>
      <c r="E78" s="29"/>
      <c r="F78" s="32"/>
      <c r="G78" s="29"/>
      <c r="H78" s="32"/>
      <c r="I78" s="32"/>
      <c r="J78" s="32"/>
      <c r="K78" s="32"/>
      <c r="L78" s="29"/>
      <c r="M78" s="32"/>
      <c r="N78" s="32"/>
      <c r="O78" s="32"/>
      <c r="P78" s="32"/>
      <c r="Q78" s="32">
        <f>16500-4222-642</f>
        <v>11636</v>
      </c>
      <c r="R78" s="32"/>
      <c r="S78" s="30"/>
    </row>
    <row r="79" spans="1:19" s="30" customFormat="1" ht="24" x14ac:dyDescent="0.2">
      <c r="A79" s="6">
        <v>71</v>
      </c>
      <c r="B79" s="7" t="s">
        <v>174</v>
      </c>
      <c r="C79" s="29">
        <f t="shared" si="3"/>
        <v>14046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>
        <f>14000+46</f>
        <v>14046</v>
      </c>
      <c r="Q79" s="29"/>
      <c r="R79" s="29"/>
    </row>
    <row r="80" spans="1:19" s="30" customFormat="1" ht="12" x14ac:dyDescent="0.2">
      <c r="A80" s="6">
        <v>72</v>
      </c>
      <c r="B80" s="5" t="s">
        <v>57</v>
      </c>
      <c r="C80" s="29">
        <f t="shared" si="3"/>
        <v>11923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>
        <f>11900+23</f>
        <v>11923</v>
      </c>
      <c r="Q80" s="29"/>
      <c r="R80" s="29"/>
    </row>
    <row r="81" spans="1:18" s="30" customFormat="1" ht="12" x14ac:dyDescent="0.2">
      <c r="A81" s="6">
        <v>73</v>
      </c>
      <c r="B81" s="5" t="s">
        <v>58</v>
      </c>
      <c r="C81" s="29">
        <f t="shared" si="3"/>
        <v>56599</v>
      </c>
      <c r="D81" s="29"/>
      <c r="E81" s="29">
        <f t="shared" si="4"/>
        <v>4912</v>
      </c>
      <c r="F81" s="29">
        <f>5221-723</f>
        <v>4498</v>
      </c>
      <c r="G81" s="29">
        <f>415-1</f>
        <v>414</v>
      </c>
      <c r="H81" s="29">
        <f>1352-347-60</f>
        <v>945</v>
      </c>
      <c r="I81" s="29">
        <f>225-2</f>
        <v>223</v>
      </c>
      <c r="J81" s="29">
        <f>1923-40</f>
        <v>1883</v>
      </c>
      <c r="K81" s="29">
        <f>29142-1350</f>
        <v>27792</v>
      </c>
      <c r="L81" s="29"/>
      <c r="M81" s="29"/>
      <c r="N81" s="29"/>
      <c r="O81" s="29"/>
      <c r="P81" s="29"/>
      <c r="Q81" s="29">
        <f>9490+1024+1047-582</f>
        <v>10979</v>
      </c>
      <c r="R81" s="29">
        <f>9979-415+301</f>
        <v>9865</v>
      </c>
    </row>
    <row r="82" spans="1:18" s="30" customFormat="1" ht="12" x14ac:dyDescent="0.2">
      <c r="A82" s="6">
        <v>74</v>
      </c>
      <c r="B82" s="5" t="s">
        <v>59</v>
      </c>
      <c r="C82" s="29">
        <f t="shared" si="3"/>
        <v>71796</v>
      </c>
      <c r="D82" s="29"/>
      <c r="E82" s="29">
        <f t="shared" si="4"/>
        <v>6726</v>
      </c>
      <c r="F82" s="29">
        <f>6385-176</f>
        <v>6209</v>
      </c>
      <c r="G82" s="29">
        <f>518-1</f>
        <v>517</v>
      </c>
      <c r="H82" s="29">
        <f>1326-73</f>
        <v>1253</v>
      </c>
      <c r="I82" s="29">
        <f>360+342</f>
        <v>702</v>
      </c>
      <c r="J82" s="29">
        <f>2393-73</f>
        <v>2320</v>
      </c>
      <c r="K82" s="29">
        <f>34511-16</f>
        <v>34495</v>
      </c>
      <c r="L82" s="29"/>
      <c r="M82" s="29"/>
      <c r="N82" s="29"/>
      <c r="O82" s="29"/>
      <c r="P82" s="29"/>
      <c r="Q82" s="29">
        <f>8446+1252+87</f>
        <v>9785</v>
      </c>
      <c r="R82" s="29">
        <f>16663-518+370</f>
        <v>16515</v>
      </c>
    </row>
    <row r="83" spans="1:18" s="30" customFormat="1" ht="12" x14ac:dyDescent="0.2">
      <c r="A83" s="6">
        <v>75</v>
      </c>
      <c r="B83" s="5" t="s">
        <v>60</v>
      </c>
      <c r="C83" s="29">
        <f t="shared" si="3"/>
        <v>63621</v>
      </c>
      <c r="D83" s="29"/>
      <c r="E83" s="29">
        <f t="shared" si="4"/>
        <v>5711</v>
      </c>
      <c r="F83" s="29">
        <f>5892-633</f>
        <v>5259</v>
      </c>
      <c r="G83" s="29">
        <f>508-56</f>
        <v>452</v>
      </c>
      <c r="H83" s="29">
        <f>1473-300-129</f>
        <v>1044</v>
      </c>
      <c r="I83" s="29">
        <f>387+8</f>
        <v>395</v>
      </c>
      <c r="J83" s="29">
        <f>2057-44</f>
        <v>2013</v>
      </c>
      <c r="K83" s="29">
        <f>29662-700</f>
        <v>28962</v>
      </c>
      <c r="L83" s="29"/>
      <c r="M83" s="29"/>
      <c r="N83" s="29"/>
      <c r="O83" s="29"/>
      <c r="P83" s="29"/>
      <c r="Q83" s="29">
        <f>7600+1143+300+75</f>
        <v>9118</v>
      </c>
      <c r="R83" s="29">
        <f>16548-508+338</f>
        <v>16378</v>
      </c>
    </row>
    <row r="84" spans="1:18" s="30" customFormat="1" ht="12" x14ac:dyDescent="0.2">
      <c r="A84" s="6">
        <v>76</v>
      </c>
      <c r="B84" s="5" t="s">
        <v>61</v>
      </c>
      <c r="C84" s="29">
        <f t="shared" si="3"/>
        <v>41587</v>
      </c>
      <c r="D84" s="29"/>
      <c r="E84" s="29">
        <f t="shared" si="4"/>
        <v>4177</v>
      </c>
      <c r="F84" s="29">
        <f>3930-105</f>
        <v>3825</v>
      </c>
      <c r="G84" s="29">
        <f>354-2</f>
        <v>352</v>
      </c>
      <c r="H84" s="29">
        <f>1080-71</f>
        <v>1009</v>
      </c>
      <c r="I84" s="29">
        <f>1618-20</f>
        <v>1598</v>
      </c>
      <c r="J84" s="29">
        <f>1456-6</f>
        <v>1450</v>
      </c>
      <c r="K84" s="29">
        <f>17462-19</f>
        <v>17443</v>
      </c>
      <c r="L84" s="29"/>
      <c r="M84" s="29"/>
      <c r="N84" s="29"/>
      <c r="O84" s="29"/>
      <c r="P84" s="29"/>
      <c r="Q84" s="29">
        <f>4427+733+150+4</f>
        <v>5314</v>
      </c>
      <c r="R84" s="29">
        <f>10728-354+222</f>
        <v>10596</v>
      </c>
    </row>
    <row r="85" spans="1:18" s="30" customFormat="1" ht="12" x14ac:dyDescent="0.2">
      <c r="A85" s="6">
        <v>77</v>
      </c>
      <c r="B85" s="5" t="s">
        <v>62</v>
      </c>
      <c r="C85" s="29">
        <f t="shared" si="3"/>
        <v>72215</v>
      </c>
      <c r="D85" s="29"/>
      <c r="E85" s="29">
        <f t="shared" si="4"/>
        <v>7400</v>
      </c>
      <c r="F85" s="29">
        <f>6837-27</f>
        <v>6810</v>
      </c>
      <c r="G85" s="29">
        <f>592-2</f>
        <v>590</v>
      </c>
      <c r="H85" s="29">
        <f>1982-20</f>
        <v>1962</v>
      </c>
      <c r="I85" s="29">
        <f>1114-10</f>
        <v>1104</v>
      </c>
      <c r="J85" s="29">
        <f>2559-136</f>
        <v>2423</v>
      </c>
      <c r="K85" s="29">
        <f>28614-112</f>
        <v>28502</v>
      </c>
      <c r="L85" s="29"/>
      <c r="M85" s="29"/>
      <c r="N85" s="29"/>
      <c r="O85" s="29"/>
      <c r="P85" s="29"/>
      <c r="Q85" s="29">
        <f>4671+1273+64</f>
        <v>6008</v>
      </c>
      <c r="R85" s="29">
        <f>25023-592+385</f>
        <v>24816</v>
      </c>
    </row>
    <row r="86" spans="1:18" s="30" customFormat="1" ht="12" x14ac:dyDescent="0.2">
      <c r="A86" s="6">
        <v>78</v>
      </c>
      <c r="B86" s="5" t="s">
        <v>63</v>
      </c>
      <c r="C86" s="29">
        <f t="shared" si="3"/>
        <v>33965</v>
      </c>
      <c r="D86" s="29"/>
      <c r="E86" s="29">
        <f t="shared" si="4"/>
        <v>3612</v>
      </c>
      <c r="F86" s="29">
        <f>3326-7</f>
        <v>3319</v>
      </c>
      <c r="G86" s="29">
        <f>296-3</f>
        <v>293</v>
      </c>
      <c r="H86" s="29">
        <f>841-162-164</f>
        <v>515</v>
      </c>
      <c r="I86" s="29">
        <f>881-35-72</f>
        <v>774</v>
      </c>
      <c r="J86" s="29">
        <f>1122-3</f>
        <v>1119</v>
      </c>
      <c r="K86" s="29">
        <f>13477-469</f>
        <v>13008</v>
      </c>
      <c r="L86" s="29"/>
      <c r="M86" s="29"/>
      <c r="N86" s="29"/>
      <c r="O86" s="29"/>
      <c r="P86" s="29"/>
      <c r="Q86" s="29">
        <f>5379+609+162-165</f>
        <v>5985</v>
      </c>
      <c r="R86" s="29">
        <f>9072-296+176</f>
        <v>8952</v>
      </c>
    </row>
    <row r="87" spans="1:18" s="30" customFormat="1" ht="12" x14ac:dyDescent="0.2">
      <c r="A87" s="6">
        <v>79</v>
      </c>
      <c r="B87" s="5" t="s">
        <v>9</v>
      </c>
      <c r="C87" s="29">
        <f t="shared" si="3"/>
        <v>17601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>
        <f>4133-5</f>
        <v>4128</v>
      </c>
      <c r="R87" s="29">
        <f>13287+186</f>
        <v>13473</v>
      </c>
    </row>
    <row r="88" spans="1:18" s="30" customFormat="1" ht="12" x14ac:dyDescent="0.2">
      <c r="A88" s="6">
        <v>80</v>
      </c>
      <c r="B88" s="5" t="s">
        <v>64</v>
      </c>
      <c r="C88" s="29">
        <f t="shared" si="3"/>
        <v>265390</v>
      </c>
      <c r="D88" s="29">
        <f>5169-15</f>
        <v>5154</v>
      </c>
      <c r="E88" s="29">
        <f t="shared" si="4"/>
        <v>25723</v>
      </c>
      <c r="F88" s="29">
        <f>23683-53</f>
        <v>23630</v>
      </c>
      <c r="G88" s="29">
        <f>2098-5</f>
        <v>2093</v>
      </c>
      <c r="H88" s="29">
        <f>7143-103</f>
        <v>7040</v>
      </c>
      <c r="I88" s="29">
        <f>6398-5</f>
        <v>6393</v>
      </c>
      <c r="J88" s="29">
        <f>11638-154</f>
        <v>11484</v>
      </c>
      <c r="K88" s="29">
        <f>123522-120</f>
        <v>123402</v>
      </c>
      <c r="L88" s="29">
        <f t="shared" si="0"/>
        <v>1411</v>
      </c>
      <c r="M88" s="29">
        <f>1064-42</f>
        <v>1022</v>
      </c>
      <c r="N88" s="29">
        <f>400-11</f>
        <v>389</v>
      </c>
      <c r="O88" s="29"/>
      <c r="P88" s="29"/>
      <c r="Q88" s="29">
        <f>30604+4545-175</f>
        <v>34974</v>
      </c>
      <c r="R88" s="29">
        <f>50406-2098+1501</f>
        <v>49809</v>
      </c>
    </row>
    <row r="89" spans="1:18" s="30" customFormat="1" ht="12" x14ac:dyDescent="0.2">
      <c r="A89" s="6">
        <v>81</v>
      </c>
      <c r="B89" s="5" t="s">
        <v>65</v>
      </c>
      <c r="C89" s="29">
        <f t="shared" si="3"/>
        <v>238993</v>
      </c>
      <c r="D89" s="29">
        <f>39377-364-87</f>
        <v>38926</v>
      </c>
      <c r="E89" s="29">
        <f t="shared" si="4"/>
        <v>18381</v>
      </c>
      <c r="F89" s="29">
        <f>17300-389</f>
        <v>16911</v>
      </c>
      <c r="G89" s="29">
        <f>1773-268-35</f>
        <v>1470</v>
      </c>
      <c r="H89" s="29">
        <f>5191-901-173</f>
        <v>4117</v>
      </c>
      <c r="I89" s="29">
        <f>2845-13</f>
        <v>2832</v>
      </c>
      <c r="J89" s="29">
        <f>9600-179</f>
        <v>9421</v>
      </c>
      <c r="K89" s="29">
        <f>96379-534-1078</f>
        <v>94767</v>
      </c>
      <c r="L89" s="29">
        <f t="shared" si="0"/>
        <v>1451</v>
      </c>
      <c r="M89" s="29">
        <f>1170-11</f>
        <v>1159</v>
      </c>
      <c r="N89" s="29">
        <f>294-2</f>
        <v>292</v>
      </c>
      <c r="O89" s="29"/>
      <c r="P89" s="29"/>
      <c r="Q89" s="29">
        <f>27458+3751-66</f>
        <v>31143</v>
      </c>
      <c r="R89" s="29">
        <f>38520-1773+1208</f>
        <v>37955</v>
      </c>
    </row>
    <row r="90" spans="1:18" s="30" customFormat="1" ht="24" x14ac:dyDescent="0.2">
      <c r="A90" s="6">
        <v>82</v>
      </c>
      <c r="B90" s="7" t="s">
        <v>175</v>
      </c>
      <c r="C90" s="29">
        <f t="shared" si="3"/>
        <v>11187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>
        <f>11200-13</f>
        <v>11187</v>
      </c>
      <c r="Q90" s="29"/>
      <c r="R90" s="29"/>
    </row>
    <row r="91" spans="1:18" s="30" customFormat="1" ht="12" x14ac:dyDescent="0.2">
      <c r="A91" s="6">
        <v>83</v>
      </c>
      <c r="B91" s="5" t="s">
        <v>66</v>
      </c>
      <c r="C91" s="29">
        <f t="shared" si="3"/>
        <v>59176</v>
      </c>
      <c r="D91" s="29"/>
      <c r="E91" s="29">
        <f t="shared" si="4"/>
        <v>6086</v>
      </c>
      <c r="F91" s="29">
        <v>5601</v>
      </c>
      <c r="G91" s="29">
        <v>485</v>
      </c>
      <c r="H91" s="29">
        <f>1942-9</f>
        <v>1933</v>
      </c>
      <c r="I91" s="29">
        <f>1170-15</f>
        <v>1155</v>
      </c>
      <c r="J91" s="29">
        <f>2032-37</f>
        <v>1995</v>
      </c>
      <c r="K91" s="29">
        <f>24734-27</f>
        <v>24707</v>
      </c>
      <c r="L91" s="29"/>
      <c r="M91" s="29"/>
      <c r="N91" s="29"/>
      <c r="O91" s="29"/>
      <c r="P91" s="29"/>
      <c r="Q91" s="29">
        <f>5839+1038+65</f>
        <v>6942</v>
      </c>
      <c r="R91" s="29">
        <f>16533-485+310</f>
        <v>16358</v>
      </c>
    </row>
    <row r="92" spans="1:18" s="30" customFormat="1" ht="12" x14ac:dyDescent="0.2">
      <c r="A92" s="6">
        <v>84</v>
      </c>
      <c r="B92" s="5" t="s">
        <v>67</v>
      </c>
      <c r="C92" s="29">
        <f t="shared" si="3"/>
        <v>67103</v>
      </c>
      <c r="D92" s="29"/>
      <c r="E92" s="29">
        <f t="shared" si="4"/>
        <v>6208</v>
      </c>
      <c r="F92" s="29">
        <f>5700-40</f>
        <v>5660</v>
      </c>
      <c r="G92" s="29">
        <f>549-1</f>
        <v>548</v>
      </c>
      <c r="H92" s="29">
        <f>1860-293</f>
        <v>1567</v>
      </c>
      <c r="I92" s="29">
        <v>1115</v>
      </c>
      <c r="J92" s="29">
        <f>1220-7</f>
        <v>1213</v>
      </c>
      <c r="K92" s="29">
        <f>29961+88-577</f>
        <v>29472</v>
      </c>
      <c r="L92" s="29"/>
      <c r="M92" s="29"/>
      <c r="N92" s="29"/>
      <c r="O92" s="29"/>
      <c r="P92" s="29"/>
      <c r="Q92" s="29">
        <f>10966+1196-40</f>
        <v>12122</v>
      </c>
      <c r="R92" s="29">
        <f>15590-549+365</f>
        <v>15406</v>
      </c>
    </row>
    <row r="93" spans="1:18" s="30" customFormat="1" ht="12" x14ac:dyDescent="0.2">
      <c r="A93" s="6">
        <v>85</v>
      </c>
      <c r="B93" s="5" t="s">
        <v>68</v>
      </c>
      <c r="C93" s="29">
        <f t="shared" si="3"/>
        <v>45982</v>
      </c>
      <c r="D93" s="29"/>
      <c r="E93" s="29">
        <f t="shared" si="4"/>
        <v>4611</v>
      </c>
      <c r="F93" s="29">
        <f>4272-13</f>
        <v>4259</v>
      </c>
      <c r="G93" s="29">
        <f>354-2</f>
        <v>352</v>
      </c>
      <c r="H93" s="29">
        <f>1267-94</f>
        <v>1173</v>
      </c>
      <c r="I93" s="29">
        <f>945-14</f>
        <v>931</v>
      </c>
      <c r="J93" s="29">
        <f>1601-43</f>
        <v>1558</v>
      </c>
      <c r="K93" s="29">
        <f>20655-12</f>
        <v>20643</v>
      </c>
      <c r="L93" s="29"/>
      <c r="M93" s="29"/>
      <c r="N93" s="29"/>
      <c r="O93" s="29"/>
      <c r="P93" s="29"/>
      <c r="Q93" s="29">
        <f>8240+812-164</f>
        <v>8888</v>
      </c>
      <c r="R93" s="29">
        <f>8283-354+249</f>
        <v>8178</v>
      </c>
    </row>
    <row r="94" spans="1:18" s="30" customFormat="1" ht="12" x14ac:dyDescent="0.2">
      <c r="A94" s="6">
        <v>86</v>
      </c>
      <c r="B94" s="5" t="s">
        <v>104</v>
      </c>
      <c r="C94" s="29">
        <f t="shared" si="3"/>
        <v>171350</v>
      </c>
      <c r="D94" s="29"/>
      <c r="E94" s="29"/>
      <c r="F94" s="29"/>
      <c r="G94" s="29"/>
      <c r="H94" s="29"/>
      <c r="I94" s="29">
        <f>2300+21</f>
        <v>2321</v>
      </c>
      <c r="J94" s="29"/>
      <c r="K94" s="29">
        <f>152712-53</f>
        <v>152659</v>
      </c>
      <c r="L94" s="29"/>
      <c r="M94" s="29"/>
      <c r="N94" s="29"/>
      <c r="O94" s="29"/>
      <c r="P94" s="29"/>
      <c r="Q94" s="29">
        <f>8791+1305-58</f>
        <v>10038</v>
      </c>
      <c r="R94" s="29">
        <f>5894+438</f>
        <v>6332</v>
      </c>
    </row>
    <row r="95" spans="1:18" s="30" customFormat="1" ht="12" x14ac:dyDescent="0.2">
      <c r="A95" s="6">
        <v>87</v>
      </c>
      <c r="B95" s="5" t="s">
        <v>105</v>
      </c>
      <c r="C95" s="29">
        <f t="shared" si="3"/>
        <v>145322</v>
      </c>
      <c r="D95" s="29"/>
      <c r="E95" s="29"/>
      <c r="F95" s="29"/>
      <c r="G95" s="29"/>
      <c r="H95" s="29"/>
      <c r="I95" s="29">
        <v>3757</v>
      </c>
      <c r="J95" s="29"/>
      <c r="K95" s="29">
        <f>129406-32</f>
        <v>129374</v>
      </c>
      <c r="L95" s="29"/>
      <c r="M95" s="29"/>
      <c r="N95" s="29"/>
      <c r="O95" s="29"/>
      <c r="P95" s="29"/>
      <c r="Q95" s="29">
        <f>1276+1106+13</f>
        <v>2395</v>
      </c>
      <c r="R95" s="29">
        <f>9420+376</f>
        <v>9796</v>
      </c>
    </row>
    <row r="96" spans="1:18" s="30" customFormat="1" ht="12" x14ac:dyDescent="0.2">
      <c r="A96" s="6">
        <v>88</v>
      </c>
      <c r="B96" s="5" t="s">
        <v>106</v>
      </c>
      <c r="C96" s="29">
        <f t="shared" si="3"/>
        <v>198736</v>
      </c>
      <c r="D96" s="29"/>
      <c r="E96" s="29"/>
      <c r="F96" s="29"/>
      <c r="G96" s="29"/>
      <c r="H96" s="29"/>
      <c r="I96" s="29">
        <f>582-4</f>
        <v>578</v>
      </c>
      <c r="J96" s="29"/>
      <c r="K96" s="29">
        <f>183246-339</f>
        <v>182907</v>
      </c>
      <c r="L96" s="29"/>
      <c r="M96" s="29"/>
      <c r="N96" s="29"/>
      <c r="O96" s="29"/>
      <c r="P96" s="29"/>
      <c r="Q96" s="29">
        <f>9000+1494-1</f>
        <v>10493</v>
      </c>
      <c r="R96" s="29">
        <f>4254+504</f>
        <v>4758</v>
      </c>
    </row>
    <row r="97" spans="1:18" s="30" customFormat="1" ht="12" x14ac:dyDescent="0.2">
      <c r="A97" s="6">
        <v>89</v>
      </c>
      <c r="B97" s="5" t="s">
        <v>107</v>
      </c>
      <c r="C97" s="29">
        <f t="shared" si="3"/>
        <v>257675</v>
      </c>
      <c r="D97" s="29">
        <f>14220-13</f>
        <v>14207</v>
      </c>
      <c r="E97" s="29"/>
      <c r="F97" s="29"/>
      <c r="G97" s="29"/>
      <c r="H97" s="29"/>
      <c r="I97" s="29">
        <f>3366-74-149</f>
        <v>3143</v>
      </c>
      <c r="J97" s="29"/>
      <c r="K97" s="29">
        <f>226163-99</f>
        <v>226064</v>
      </c>
      <c r="L97" s="29"/>
      <c r="M97" s="29"/>
      <c r="N97" s="29"/>
      <c r="O97" s="29"/>
      <c r="P97" s="29"/>
      <c r="Q97" s="29">
        <f>5300+1855+60</f>
        <v>7215</v>
      </c>
      <c r="R97" s="29">
        <f>6430+616</f>
        <v>7046</v>
      </c>
    </row>
    <row r="98" spans="1:18" s="30" customFormat="1" ht="12" x14ac:dyDescent="0.2">
      <c r="A98" s="6">
        <v>90</v>
      </c>
      <c r="B98" s="5" t="s">
        <v>176</v>
      </c>
      <c r="C98" s="29">
        <f t="shared" si="3"/>
        <v>89243</v>
      </c>
      <c r="D98" s="29"/>
      <c r="E98" s="29"/>
      <c r="F98" s="29"/>
      <c r="G98" s="29"/>
      <c r="H98" s="29"/>
      <c r="I98" s="29">
        <f>675-27</f>
        <v>648</v>
      </c>
      <c r="J98" s="29"/>
      <c r="K98" s="29">
        <f>78162-16</f>
        <v>78146</v>
      </c>
      <c r="L98" s="29"/>
      <c r="M98" s="29"/>
      <c r="N98" s="29"/>
      <c r="O98" s="29"/>
      <c r="P98" s="29"/>
      <c r="Q98" s="29">
        <f>2600+676+100+29</f>
        <v>3405</v>
      </c>
      <c r="R98" s="29">
        <f>6806+238</f>
        <v>7044</v>
      </c>
    </row>
    <row r="99" spans="1:18" s="30" customFormat="1" ht="12" x14ac:dyDescent="0.2">
      <c r="A99" s="6">
        <v>91</v>
      </c>
      <c r="B99" s="5" t="s">
        <v>177</v>
      </c>
      <c r="C99" s="29">
        <f t="shared" si="3"/>
        <v>24000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>
        <v>24000</v>
      </c>
      <c r="Q99" s="29"/>
      <c r="R99" s="29"/>
    </row>
    <row r="100" spans="1:18" s="30" customFormat="1" ht="12" x14ac:dyDescent="0.2">
      <c r="A100" s="6">
        <v>92</v>
      </c>
      <c r="B100" s="5" t="s">
        <v>178</v>
      </c>
      <c r="C100" s="29">
        <f t="shared" si="3"/>
        <v>25826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>
        <f>25596+230</f>
        <v>25826</v>
      </c>
      <c r="Q100" s="29"/>
      <c r="R100" s="29"/>
    </row>
    <row r="101" spans="1:18" s="30" customFormat="1" ht="12" x14ac:dyDescent="0.2">
      <c r="A101" s="6">
        <v>93</v>
      </c>
      <c r="B101" s="5" t="s">
        <v>108</v>
      </c>
      <c r="C101" s="29">
        <f t="shared" si="3"/>
        <v>69250</v>
      </c>
      <c r="D101" s="29"/>
      <c r="E101" s="29">
        <f t="shared" si="4"/>
        <v>14577</v>
      </c>
      <c r="F101" s="29">
        <f>14996-1000-171</f>
        <v>13825</v>
      </c>
      <c r="G101" s="29">
        <f>757-5</f>
        <v>752</v>
      </c>
      <c r="H101" s="29">
        <f>2076-63</f>
        <v>2013</v>
      </c>
      <c r="I101" s="29"/>
      <c r="J101" s="29">
        <f>4811-55</f>
        <v>4756</v>
      </c>
      <c r="K101" s="29">
        <f>27468-29</f>
        <v>27439</v>
      </c>
      <c r="L101" s="29"/>
      <c r="M101" s="29"/>
      <c r="N101" s="29"/>
      <c r="O101" s="29"/>
      <c r="P101" s="29"/>
      <c r="Q101" s="29">
        <f>2380+2526+66</f>
        <v>4972</v>
      </c>
      <c r="R101" s="29">
        <f>15391-757+859</f>
        <v>15493</v>
      </c>
    </row>
    <row r="102" spans="1:18" s="30" customFormat="1" ht="12" x14ac:dyDescent="0.2">
      <c r="A102" s="6">
        <v>94</v>
      </c>
      <c r="B102" s="5" t="s">
        <v>109</v>
      </c>
      <c r="C102" s="29">
        <f t="shared" si="3"/>
        <v>57069</v>
      </c>
      <c r="D102" s="29">
        <f>17433-793-34-6</f>
        <v>16600</v>
      </c>
      <c r="E102" s="29">
        <f t="shared" si="4"/>
        <v>10538</v>
      </c>
      <c r="F102" s="29">
        <f>9701-7</f>
        <v>9694</v>
      </c>
      <c r="G102" s="29">
        <f>847-3</f>
        <v>844</v>
      </c>
      <c r="H102" s="29">
        <f>2910+200-17</f>
        <v>3093</v>
      </c>
      <c r="I102" s="29"/>
      <c r="J102" s="29">
        <f>5166-67</f>
        <v>5099</v>
      </c>
      <c r="K102" s="29"/>
      <c r="L102" s="29"/>
      <c r="M102" s="29"/>
      <c r="N102" s="29"/>
      <c r="O102" s="29"/>
      <c r="P102" s="29"/>
      <c r="Q102" s="29">
        <f>5870+450+33</f>
        <v>6353</v>
      </c>
      <c r="R102" s="29">
        <f>15753-847+480</f>
        <v>15386</v>
      </c>
    </row>
    <row r="103" spans="1:18" s="30" customFormat="1" ht="12" x14ac:dyDescent="0.2">
      <c r="A103" s="6">
        <v>95</v>
      </c>
      <c r="B103" s="5" t="s">
        <v>110</v>
      </c>
      <c r="C103" s="29">
        <f t="shared" si="3"/>
        <v>40181</v>
      </c>
      <c r="D103" s="29"/>
      <c r="E103" s="29">
        <f t="shared" si="4"/>
        <v>9460</v>
      </c>
      <c r="F103" s="29">
        <f>7973+675-18</f>
        <v>8630</v>
      </c>
      <c r="G103" s="29">
        <f>831-1</f>
        <v>830</v>
      </c>
      <c r="H103" s="29">
        <f>1993-81-34</f>
        <v>1878</v>
      </c>
      <c r="I103" s="29"/>
      <c r="J103" s="29">
        <f>4602-16</f>
        <v>4586</v>
      </c>
      <c r="K103" s="29"/>
      <c r="L103" s="29"/>
      <c r="M103" s="29"/>
      <c r="N103" s="29"/>
      <c r="O103" s="29"/>
      <c r="P103" s="29"/>
      <c r="Q103" s="29">
        <f>9861+1400+81+163</f>
        <v>11505</v>
      </c>
      <c r="R103" s="29">
        <f>13121-831+462</f>
        <v>12752</v>
      </c>
    </row>
    <row r="104" spans="1:18" s="30" customFormat="1" ht="12" x14ac:dyDescent="0.2">
      <c r="A104" s="6">
        <v>96</v>
      </c>
      <c r="B104" s="5" t="s">
        <v>111</v>
      </c>
      <c r="C104" s="29">
        <f t="shared" si="3"/>
        <v>55026</v>
      </c>
      <c r="D104" s="29">
        <f>26129-9-5</f>
        <v>26115</v>
      </c>
      <c r="E104" s="29">
        <f t="shared" si="4"/>
        <v>7428</v>
      </c>
      <c r="F104" s="29">
        <f>6883-20</f>
        <v>6863</v>
      </c>
      <c r="G104" s="29">
        <f>588-23</f>
        <v>565</v>
      </c>
      <c r="H104" s="29">
        <f>1720-34</f>
        <v>1686</v>
      </c>
      <c r="I104" s="29"/>
      <c r="J104" s="29">
        <f>3340-51</f>
        <v>3289</v>
      </c>
      <c r="K104" s="29"/>
      <c r="L104" s="29"/>
      <c r="M104" s="29"/>
      <c r="N104" s="29"/>
      <c r="O104" s="29"/>
      <c r="P104" s="29"/>
      <c r="Q104" s="29">
        <f>4099+1050+41</f>
        <v>5190</v>
      </c>
      <c r="R104" s="29">
        <f>11546-588+360</f>
        <v>11318</v>
      </c>
    </row>
    <row r="105" spans="1:18" s="30" customFormat="1" ht="12" x14ac:dyDescent="0.2">
      <c r="A105" s="6">
        <v>97</v>
      </c>
      <c r="B105" s="5" t="s">
        <v>112</v>
      </c>
      <c r="C105" s="29">
        <f t="shared" si="3"/>
        <v>96871</v>
      </c>
      <c r="D105" s="29"/>
      <c r="E105" s="29">
        <f t="shared" si="4"/>
        <v>17940</v>
      </c>
      <c r="F105" s="29">
        <f>16298-3</f>
        <v>16295</v>
      </c>
      <c r="G105" s="29">
        <f>1674-29</f>
        <v>1645</v>
      </c>
      <c r="H105" s="29">
        <f>4750-108-231</f>
        <v>4411</v>
      </c>
      <c r="I105" s="29"/>
      <c r="J105" s="29">
        <f>8797-31</f>
        <v>8766</v>
      </c>
      <c r="K105" s="29"/>
      <c r="L105" s="29">
        <f t="shared" ref="L105:L140" si="5">M105+N105</f>
        <v>1456</v>
      </c>
      <c r="M105" s="29">
        <f>878-4</f>
        <v>874</v>
      </c>
      <c r="N105" s="29">
        <f>586-4</f>
        <v>582</v>
      </c>
      <c r="O105" s="29"/>
      <c r="P105" s="29"/>
      <c r="Q105" s="29">
        <f>31401+2763+108-18</f>
        <v>34254</v>
      </c>
      <c r="R105" s="29">
        <f>30833-1674+885</f>
        <v>30044</v>
      </c>
    </row>
    <row r="106" spans="1:18" s="30" customFormat="1" ht="12" x14ac:dyDescent="0.2">
      <c r="A106" s="6">
        <v>98</v>
      </c>
      <c r="B106" s="5" t="s">
        <v>113</v>
      </c>
      <c r="C106" s="29">
        <f t="shared" si="3"/>
        <v>48888</v>
      </c>
      <c r="D106" s="29"/>
      <c r="E106" s="29">
        <f t="shared" si="4"/>
        <v>10327</v>
      </c>
      <c r="F106" s="29">
        <f>9664-290</f>
        <v>9374</v>
      </c>
      <c r="G106" s="29">
        <f>809+144</f>
        <v>953</v>
      </c>
      <c r="H106" s="29">
        <f>2899-151</f>
        <v>2748</v>
      </c>
      <c r="I106" s="29"/>
      <c r="J106" s="29">
        <f>5000-1</f>
        <v>4999</v>
      </c>
      <c r="K106" s="29"/>
      <c r="L106" s="29"/>
      <c r="M106" s="29"/>
      <c r="N106" s="29"/>
      <c r="O106" s="29"/>
      <c r="P106" s="29"/>
      <c r="Q106" s="29">
        <f>14084+1411+35</f>
        <v>15530</v>
      </c>
      <c r="R106" s="29">
        <f>15621-809+472</f>
        <v>15284</v>
      </c>
    </row>
    <row r="107" spans="1:18" s="30" customFormat="1" ht="12" x14ac:dyDescent="0.2">
      <c r="A107" s="6">
        <v>99</v>
      </c>
      <c r="B107" s="5" t="s">
        <v>114</v>
      </c>
      <c r="C107" s="29">
        <f t="shared" si="3"/>
        <v>61462</v>
      </c>
      <c r="D107" s="29">
        <f>17135-16-10</f>
        <v>17109</v>
      </c>
      <c r="E107" s="29">
        <f t="shared" si="4"/>
        <v>10845</v>
      </c>
      <c r="F107" s="29">
        <f>10200-265</f>
        <v>9935</v>
      </c>
      <c r="G107" s="29">
        <f>913-3</f>
        <v>910</v>
      </c>
      <c r="H107" s="29">
        <f>2550-146</f>
        <v>2404</v>
      </c>
      <c r="I107" s="29"/>
      <c r="J107" s="29">
        <f>4605-24</f>
        <v>4581</v>
      </c>
      <c r="K107" s="29"/>
      <c r="L107" s="29">
        <f t="shared" si="5"/>
        <v>1436</v>
      </c>
      <c r="M107" s="29">
        <f>1025-28</f>
        <v>997</v>
      </c>
      <c r="N107" s="29">
        <v>439</v>
      </c>
      <c r="O107" s="29"/>
      <c r="P107" s="29"/>
      <c r="Q107" s="29">
        <f>5950+1586-1</f>
        <v>7535</v>
      </c>
      <c r="R107" s="29">
        <f>17932-913+533</f>
        <v>17552</v>
      </c>
    </row>
    <row r="108" spans="1:18" s="30" customFormat="1" ht="12" x14ac:dyDescent="0.2">
      <c r="A108" s="6">
        <v>100</v>
      </c>
      <c r="B108" s="5" t="s">
        <v>115</v>
      </c>
      <c r="C108" s="29">
        <f t="shared" si="3"/>
        <v>26193</v>
      </c>
      <c r="D108" s="29"/>
      <c r="E108" s="29">
        <f t="shared" si="4"/>
        <v>6641</v>
      </c>
      <c r="F108" s="29">
        <f>6112-21</f>
        <v>6091</v>
      </c>
      <c r="G108" s="29">
        <v>550</v>
      </c>
      <c r="H108" s="29">
        <f>1534-17</f>
        <v>1517</v>
      </c>
      <c r="I108" s="29"/>
      <c r="J108" s="29">
        <f>3109-11</f>
        <v>3098</v>
      </c>
      <c r="K108" s="29"/>
      <c r="L108" s="29"/>
      <c r="M108" s="29"/>
      <c r="N108" s="29"/>
      <c r="O108" s="29"/>
      <c r="P108" s="29"/>
      <c r="Q108" s="29">
        <f>2687+958+29</f>
        <v>3674</v>
      </c>
      <c r="R108" s="29">
        <f>11487-550+326</f>
        <v>11263</v>
      </c>
    </row>
    <row r="109" spans="1:18" s="30" customFormat="1" ht="12" x14ac:dyDescent="0.2">
      <c r="A109" s="6">
        <v>101</v>
      </c>
      <c r="B109" s="5" t="s">
        <v>116</v>
      </c>
      <c r="C109" s="29">
        <f t="shared" si="3"/>
        <v>102019</v>
      </c>
      <c r="D109" s="29"/>
      <c r="E109" s="29">
        <f t="shared" si="4"/>
        <v>20227</v>
      </c>
      <c r="F109" s="29">
        <f>18665-25</f>
        <v>18640</v>
      </c>
      <c r="G109" s="29">
        <v>1587</v>
      </c>
      <c r="H109" s="29">
        <f>5730-53</f>
        <v>5677</v>
      </c>
      <c r="I109" s="29"/>
      <c r="J109" s="29">
        <f>9009-100</f>
        <v>8909</v>
      </c>
      <c r="K109" s="29"/>
      <c r="L109" s="29">
        <f t="shared" si="5"/>
        <v>1461</v>
      </c>
      <c r="M109" s="29">
        <f>1200-3</f>
        <v>1197</v>
      </c>
      <c r="N109" s="29">
        <v>264</v>
      </c>
      <c r="O109" s="29"/>
      <c r="P109" s="29"/>
      <c r="Q109" s="29">
        <f>26217+2779+235</f>
        <v>29231</v>
      </c>
      <c r="R109" s="29">
        <f>37206-1587+895</f>
        <v>36514</v>
      </c>
    </row>
    <row r="110" spans="1:18" s="30" customFormat="1" ht="12" x14ac:dyDescent="0.2">
      <c r="A110" s="6">
        <v>102</v>
      </c>
      <c r="B110" s="5" t="s">
        <v>117</v>
      </c>
      <c r="C110" s="29">
        <f t="shared" si="3"/>
        <v>32917</v>
      </c>
      <c r="D110" s="29"/>
      <c r="E110" s="29">
        <f t="shared" si="4"/>
        <v>7758</v>
      </c>
      <c r="F110" s="29">
        <f>8300-1227</f>
        <v>7073</v>
      </c>
      <c r="G110" s="29">
        <f>603+136-24-30</f>
        <v>685</v>
      </c>
      <c r="H110" s="29">
        <f>2075-190-266</f>
        <v>1619</v>
      </c>
      <c r="I110" s="29"/>
      <c r="J110" s="29">
        <f>4100-4</f>
        <v>4096</v>
      </c>
      <c r="K110" s="29"/>
      <c r="L110" s="29"/>
      <c r="M110" s="29"/>
      <c r="N110" s="29"/>
      <c r="O110" s="29"/>
      <c r="P110" s="29"/>
      <c r="Q110" s="29">
        <f>5316+1246+190-8</f>
        <v>6744</v>
      </c>
      <c r="R110" s="29">
        <f>12896-603+407</f>
        <v>12700</v>
      </c>
    </row>
    <row r="111" spans="1:18" s="30" customFormat="1" ht="12" x14ac:dyDescent="0.2">
      <c r="A111" s="6">
        <v>103</v>
      </c>
      <c r="B111" s="5" t="s">
        <v>118</v>
      </c>
      <c r="C111" s="29">
        <f t="shared" si="3"/>
        <v>36660</v>
      </c>
      <c r="D111" s="29"/>
      <c r="E111" s="29">
        <f t="shared" si="4"/>
        <v>8527</v>
      </c>
      <c r="F111" s="29">
        <f>6120+800+1000-5</f>
        <v>7915</v>
      </c>
      <c r="G111" s="29">
        <v>612</v>
      </c>
      <c r="H111" s="29">
        <f>1530-45</f>
        <v>1485</v>
      </c>
      <c r="I111" s="29"/>
      <c r="J111" s="29">
        <f>2500-19</f>
        <v>2481</v>
      </c>
      <c r="K111" s="29"/>
      <c r="L111" s="29"/>
      <c r="M111" s="29"/>
      <c r="N111" s="29"/>
      <c r="O111" s="29"/>
      <c r="P111" s="29"/>
      <c r="Q111" s="29">
        <f>7925+1830+300+143</f>
        <v>10198</v>
      </c>
      <c r="R111" s="29">
        <f>14187-612+394</f>
        <v>13969</v>
      </c>
    </row>
    <row r="112" spans="1:18" s="30" customFormat="1" ht="12" x14ac:dyDescent="0.2">
      <c r="A112" s="6">
        <v>104</v>
      </c>
      <c r="B112" s="5" t="s">
        <v>179</v>
      </c>
      <c r="C112" s="29">
        <f t="shared" si="3"/>
        <v>1794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>
        <f>1795-1</f>
        <v>1794</v>
      </c>
      <c r="Q112" s="29"/>
      <c r="R112" s="29"/>
    </row>
    <row r="113" spans="1:18" s="30" customFormat="1" ht="12" x14ac:dyDescent="0.2">
      <c r="A113" s="6">
        <v>105</v>
      </c>
      <c r="B113" s="5" t="s">
        <v>180</v>
      </c>
      <c r="C113" s="29">
        <f t="shared" si="3"/>
        <v>2075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>
        <f>2071+4</f>
        <v>2075</v>
      </c>
      <c r="Q113" s="29"/>
      <c r="R113" s="29"/>
    </row>
    <row r="114" spans="1:18" s="30" customFormat="1" ht="12" x14ac:dyDescent="0.2">
      <c r="A114" s="6">
        <v>106</v>
      </c>
      <c r="B114" s="5" t="s">
        <v>181</v>
      </c>
      <c r="C114" s="29">
        <f t="shared" si="3"/>
        <v>2289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>
        <f>2283+6</f>
        <v>2289</v>
      </c>
      <c r="Q114" s="29"/>
      <c r="R114" s="29"/>
    </row>
    <row r="115" spans="1:18" s="30" customFormat="1" ht="12" x14ac:dyDescent="0.2">
      <c r="A115" s="6">
        <v>107</v>
      </c>
      <c r="B115" s="5" t="s">
        <v>182</v>
      </c>
      <c r="C115" s="29">
        <f t="shared" si="3"/>
        <v>2076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>
        <f>2058+18</f>
        <v>2076</v>
      </c>
      <c r="Q115" s="29"/>
      <c r="R115" s="29"/>
    </row>
    <row r="116" spans="1:18" s="30" customFormat="1" ht="12" x14ac:dyDescent="0.2">
      <c r="A116" s="6">
        <v>108</v>
      </c>
      <c r="B116" s="5" t="s">
        <v>183</v>
      </c>
      <c r="C116" s="29">
        <f t="shared" si="3"/>
        <v>10188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>
        <f>10200-12</f>
        <v>10188</v>
      </c>
      <c r="Q116" s="29"/>
      <c r="R116" s="29"/>
    </row>
    <row r="117" spans="1:18" s="30" customFormat="1" ht="12" x14ac:dyDescent="0.2">
      <c r="A117" s="6">
        <v>109</v>
      </c>
      <c r="B117" s="5" t="s">
        <v>184</v>
      </c>
      <c r="C117" s="29">
        <f t="shared" si="3"/>
        <v>1848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>
        <v>1848</v>
      </c>
      <c r="Q117" s="29"/>
      <c r="R117" s="29"/>
    </row>
    <row r="118" spans="1:18" s="30" customFormat="1" ht="12" x14ac:dyDescent="0.2">
      <c r="A118" s="6">
        <v>110</v>
      </c>
      <c r="B118" s="5" t="s">
        <v>185</v>
      </c>
      <c r="C118" s="29">
        <f t="shared" si="3"/>
        <v>1554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>
        <v>1554</v>
      </c>
      <c r="Q118" s="29"/>
      <c r="R118" s="29"/>
    </row>
    <row r="119" spans="1:18" s="30" customFormat="1" ht="12" x14ac:dyDescent="0.2">
      <c r="A119" s="6">
        <v>111</v>
      </c>
      <c r="B119" s="5" t="s">
        <v>69</v>
      </c>
      <c r="C119" s="29">
        <f t="shared" si="3"/>
        <v>152769</v>
      </c>
      <c r="D119" s="29">
        <f>13512+793-33-12</f>
        <v>14260</v>
      </c>
      <c r="E119" s="29">
        <f t="shared" si="4"/>
        <v>11051</v>
      </c>
      <c r="F119" s="29">
        <f>10229-56</f>
        <v>10173</v>
      </c>
      <c r="G119" s="29">
        <f>883-5</f>
        <v>878</v>
      </c>
      <c r="H119" s="29">
        <f>2662-257</f>
        <v>2405</v>
      </c>
      <c r="I119" s="29">
        <f>1599-47</f>
        <v>1552</v>
      </c>
      <c r="J119" s="29">
        <f>5500-51</f>
        <v>5449</v>
      </c>
      <c r="K119" s="29">
        <f>70627-31</f>
        <v>70596</v>
      </c>
      <c r="L119" s="29"/>
      <c r="M119" s="29"/>
      <c r="N119" s="29"/>
      <c r="O119" s="29"/>
      <c r="P119" s="29"/>
      <c r="Q119" s="29">
        <f>17450+2211+145</f>
        <v>19806</v>
      </c>
      <c r="R119" s="29">
        <f>27786-883+747</f>
        <v>27650</v>
      </c>
    </row>
    <row r="120" spans="1:18" s="30" customFormat="1" ht="12" x14ac:dyDescent="0.2">
      <c r="A120" s="6">
        <v>112</v>
      </c>
      <c r="B120" s="5" t="s">
        <v>70</v>
      </c>
      <c r="C120" s="29">
        <f t="shared" si="3"/>
        <v>62875</v>
      </c>
      <c r="D120" s="29"/>
      <c r="E120" s="29">
        <f t="shared" si="4"/>
        <v>11246</v>
      </c>
      <c r="F120" s="29">
        <f>10313-20</f>
        <v>10293</v>
      </c>
      <c r="G120" s="29">
        <f>954-1</f>
        <v>953</v>
      </c>
      <c r="H120" s="29">
        <f>1800-61</f>
        <v>1739</v>
      </c>
      <c r="I120" s="29"/>
      <c r="J120" s="29">
        <f>6226-30</f>
        <v>6196</v>
      </c>
      <c r="K120" s="29"/>
      <c r="L120" s="29">
        <f t="shared" si="5"/>
        <v>1444</v>
      </c>
      <c r="M120" s="29">
        <f>1014-20</f>
        <v>994</v>
      </c>
      <c r="N120" s="29">
        <v>450</v>
      </c>
      <c r="O120" s="29"/>
      <c r="P120" s="29"/>
      <c r="Q120" s="29">
        <f>22103+1577+191</f>
        <v>23871</v>
      </c>
      <c r="R120" s="29">
        <f>18816-954+517</f>
        <v>18379</v>
      </c>
    </row>
    <row r="121" spans="1:18" s="30" customFormat="1" ht="12" x14ac:dyDescent="0.2">
      <c r="A121" s="6">
        <v>113</v>
      </c>
      <c r="B121" s="5" t="s">
        <v>71</v>
      </c>
      <c r="C121" s="29">
        <f t="shared" si="3"/>
        <v>50418</v>
      </c>
      <c r="D121" s="29"/>
      <c r="E121" s="29">
        <f t="shared" si="4"/>
        <v>8885</v>
      </c>
      <c r="F121" s="29">
        <f>8650-539</f>
        <v>8111</v>
      </c>
      <c r="G121" s="29">
        <f>776-2</f>
        <v>774</v>
      </c>
      <c r="H121" s="29">
        <f>2510-142</f>
        <v>2368</v>
      </c>
      <c r="I121" s="29"/>
      <c r="J121" s="29">
        <f>4642-46</f>
        <v>4596</v>
      </c>
      <c r="K121" s="29"/>
      <c r="L121" s="29"/>
      <c r="M121" s="29"/>
      <c r="N121" s="29"/>
      <c r="O121" s="29"/>
      <c r="P121" s="29"/>
      <c r="Q121" s="29">
        <f>10600+1361+600+654</f>
        <v>13215</v>
      </c>
      <c r="R121" s="29">
        <f>21676-776+454</f>
        <v>21354</v>
      </c>
    </row>
    <row r="122" spans="1:18" s="30" customFormat="1" ht="12" x14ac:dyDescent="0.2">
      <c r="A122" s="6">
        <v>114</v>
      </c>
      <c r="B122" s="5" t="s">
        <v>72</v>
      </c>
      <c r="C122" s="29">
        <f t="shared" si="3"/>
        <v>26570</v>
      </c>
      <c r="D122" s="29"/>
      <c r="E122" s="29">
        <f t="shared" si="4"/>
        <v>4954</v>
      </c>
      <c r="F122" s="29">
        <f>4500-28</f>
        <v>4472</v>
      </c>
      <c r="G122" s="29">
        <f>433+50-1</f>
        <v>482</v>
      </c>
      <c r="H122" s="29">
        <f>1367-19</f>
        <v>1348</v>
      </c>
      <c r="I122" s="29"/>
      <c r="J122" s="29">
        <f>2050-5</f>
        <v>2045</v>
      </c>
      <c r="K122" s="29"/>
      <c r="L122" s="29"/>
      <c r="M122" s="29"/>
      <c r="N122" s="29"/>
      <c r="O122" s="29"/>
      <c r="P122" s="29"/>
      <c r="Q122" s="29">
        <f>7085+748+58</f>
        <v>7891</v>
      </c>
      <c r="R122" s="29">
        <f>10507-433+258</f>
        <v>10332</v>
      </c>
    </row>
    <row r="123" spans="1:18" s="30" customFormat="1" ht="12" x14ac:dyDescent="0.2">
      <c r="A123" s="6">
        <v>115</v>
      </c>
      <c r="B123" s="5" t="s">
        <v>73</v>
      </c>
      <c r="C123" s="29">
        <f t="shared" si="3"/>
        <v>27265</v>
      </c>
      <c r="D123" s="29">
        <f>16875-1-22-10</f>
        <v>16842</v>
      </c>
      <c r="E123" s="29">
        <f t="shared" si="4"/>
        <v>1699</v>
      </c>
      <c r="F123" s="29">
        <f>1530-4</f>
        <v>1526</v>
      </c>
      <c r="G123" s="29">
        <f>174-1</f>
        <v>173</v>
      </c>
      <c r="H123" s="29">
        <f>346-3</f>
        <v>343</v>
      </c>
      <c r="I123" s="29"/>
      <c r="J123" s="29">
        <f>1020-23</f>
        <v>997</v>
      </c>
      <c r="K123" s="29"/>
      <c r="L123" s="29">
        <f t="shared" si="5"/>
        <v>1436</v>
      </c>
      <c r="M123" s="29">
        <f>882-28</f>
        <v>854</v>
      </c>
      <c r="N123" s="29">
        <v>582</v>
      </c>
      <c r="O123" s="29"/>
      <c r="P123" s="29"/>
      <c r="Q123" s="29">
        <f>322+26</f>
        <v>348</v>
      </c>
      <c r="R123" s="29">
        <f>5657-174+117</f>
        <v>5600</v>
      </c>
    </row>
    <row r="124" spans="1:18" s="30" customFormat="1" ht="12" x14ac:dyDescent="0.2">
      <c r="A124" s="6">
        <v>116</v>
      </c>
      <c r="B124" s="5" t="s">
        <v>74</v>
      </c>
      <c r="C124" s="29">
        <f t="shared" si="3"/>
        <v>22656</v>
      </c>
      <c r="D124" s="29"/>
      <c r="E124" s="29">
        <f t="shared" si="4"/>
        <v>4686</v>
      </c>
      <c r="F124" s="29">
        <f>4200+8</f>
        <v>4208</v>
      </c>
      <c r="G124" s="29">
        <f>390+88</f>
        <v>478</v>
      </c>
      <c r="H124" s="29">
        <f>934-45</f>
        <v>889</v>
      </c>
      <c r="I124" s="29"/>
      <c r="J124" s="29">
        <f>1876+10</f>
        <v>1886</v>
      </c>
      <c r="K124" s="29"/>
      <c r="L124" s="29"/>
      <c r="M124" s="29"/>
      <c r="N124" s="29"/>
      <c r="O124" s="29"/>
      <c r="P124" s="29"/>
      <c r="Q124" s="29">
        <f>6202+641+39</f>
        <v>6882</v>
      </c>
      <c r="R124" s="29">
        <f>8484-390+219</f>
        <v>8313</v>
      </c>
    </row>
    <row r="125" spans="1:18" s="30" customFormat="1" ht="12" x14ac:dyDescent="0.2">
      <c r="A125" s="6">
        <v>117</v>
      </c>
      <c r="B125" s="5" t="s">
        <v>75</v>
      </c>
      <c r="C125" s="29">
        <f t="shared" si="3"/>
        <v>144107</v>
      </c>
      <c r="D125" s="29"/>
      <c r="E125" s="29">
        <f t="shared" si="4"/>
        <v>25680</v>
      </c>
      <c r="F125" s="29">
        <f>25995-13-2697</f>
        <v>23285</v>
      </c>
      <c r="G125" s="29">
        <f>2398-3</f>
        <v>2395</v>
      </c>
      <c r="H125" s="29">
        <f>6791-1516-396</f>
        <v>4879</v>
      </c>
      <c r="I125" s="29"/>
      <c r="J125" s="29">
        <f>12000-61</f>
        <v>11939</v>
      </c>
      <c r="K125" s="29"/>
      <c r="L125" s="29">
        <f t="shared" si="5"/>
        <v>4130</v>
      </c>
      <c r="M125" s="29">
        <f>2428+732-16</f>
        <v>3144</v>
      </c>
      <c r="N125" s="29">
        <f>500+488-2</f>
        <v>986</v>
      </c>
      <c r="O125" s="29"/>
      <c r="P125" s="29"/>
      <c r="Q125" s="29">
        <f>40508+4111+1516+185</f>
        <v>46320</v>
      </c>
      <c r="R125" s="29">
        <f>52211-2398+1346</f>
        <v>51159</v>
      </c>
    </row>
    <row r="126" spans="1:18" s="30" customFormat="1" ht="12" x14ac:dyDescent="0.2">
      <c r="A126" s="6">
        <v>118</v>
      </c>
      <c r="B126" s="5" t="s">
        <v>76</v>
      </c>
      <c r="C126" s="29">
        <f t="shared" si="3"/>
        <v>157874</v>
      </c>
      <c r="D126" s="29">
        <f>9275+1</f>
        <v>9276</v>
      </c>
      <c r="E126" s="29"/>
      <c r="F126" s="29"/>
      <c r="G126" s="29"/>
      <c r="H126" s="29"/>
      <c r="I126" s="29">
        <f>4998-10</f>
        <v>4988</v>
      </c>
      <c r="J126" s="29"/>
      <c r="K126" s="29">
        <v>134371</v>
      </c>
      <c r="L126" s="29"/>
      <c r="M126" s="29"/>
      <c r="N126" s="29"/>
      <c r="O126" s="29"/>
      <c r="P126" s="29"/>
      <c r="Q126" s="29">
        <f>3000+1131+35</f>
        <v>4166</v>
      </c>
      <c r="R126" s="29">
        <f>4706+367</f>
        <v>5073</v>
      </c>
    </row>
    <row r="127" spans="1:18" s="30" customFormat="1" ht="12" x14ac:dyDescent="0.2">
      <c r="A127" s="6">
        <v>119</v>
      </c>
      <c r="B127" s="5" t="s">
        <v>77</v>
      </c>
      <c r="C127" s="29">
        <f t="shared" si="3"/>
        <v>74201</v>
      </c>
      <c r="D127" s="29">
        <f>18099-3-2</f>
        <v>18094</v>
      </c>
      <c r="E127" s="29">
        <f t="shared" si="4"/>
        <v>8907</v>
      </c>
      <c r="F127" s="29">
        <f>7230+1000+3</f>
        <v>8233</v>
      </c>
      <c r="G127" s="29">
        <v>674</v>
      </c>
      <c r="H127" s="29">
        <f>1388-3</f>
        <v>1385</v>
      </c>
      <c r="I127" s="29"/>
      <c r="J127" s="29">
        <f>3360-4</f>
        <v>3356</v>
      </c>
      <c r="K127" s="29"/>
      <c r="L127" s="29"/>
      <c r="M127" s="29"/>
      <c r="N127" s="29"/>
      <c r="O127" s="29"/>
      <c r="P127" s="29"/>
      <c r="Q127" s="29">
        <f>12262+1547+116</f>
        <v>13925</v>
      </c>
      <c r="R127" s="29">
        <f>28702-674+506</f>
        <v>28534</v>
      </c>
    </row>
    <row r="128" spans="1:18" s="30" customFormat="1" ht="12" x14ac:dyDescent="0.2">
      <c r="A128" s="6">
        <v>120</v>
      </c>
      <c r="B128" s="5" t="s">
        <v>78</v>
      </c>
      <c r="C128" s="29">
        <f t="shared" si="3"/>
        <v>36539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>
        <f>36640-101</f>
        <v>36539</v>
      </c>
      <c r="Q128" s="29"/>
      <c r="R128" s="29"/>
    </row>
    <row r="129" spans="1:18" s="30" customFormat="1" ht="12" x14ac:dyDescent="0.2">
      <c r="A129" s="6">
        <v>121</v>
      </c>
      <c r="B129" s="5" t="s">
        <v>79</v>
      </c>
      <c r="C129" s="29">
        <f t="shared" si="3"/>
        <v>100150</v>
      </c>
      <c r="D129" s="29"/>
      <c r="E129" s="29">
        <f t="shared" si="4"/>
        <v>7492</v>
      </c>
      <c r="F129" s="29">
        <f>6800-52</f>
        <v>6748</v>
      </c>
      <c r="G129" s="29">
        <f>745-1</f>
        <v>744</v>
      </c>
      <c r="H129" s="29">
        <f>1421-63</f>
        <v>1358</v>
      </c>
      <c r="I129" s="29">
        <f>1595-24</f>
        <v>1571</v>
      </c>
      <c r="J129" s="29">
        <f>3600-16</f>
        <v>3584</v>
      </c>
      <c r="K129" s="29">
        <f>46730-86</f>
        <v>46644</v>
      </c>
      <c r="L129" s="29"/>
      <c r="M129" s="29"/>
      <c r="N129" s="29"/>
      <c r="O129" s="29"/>
      <c r="P129" s="29"/>
      <c r="Q129" s="29">
        <f>13304+1769-31</f>
        <v>15042</v>
      </c>
      <c r="R129" s="29">
        <f>24619-745+585</f>
        <v>24459</v>
      </c>
    </row>
    <row r="130" spans="1:18" s="30" customFormat="1" ht="12" x14ac:dyDescent="0.2">
      <c r="A130" s="6">
        <v>122</v>
      </c>
      <c r="B130" s="5" t="s">
        <v>80</v>
      </c>
      <c r="C130" s="29">
        <f t="shared" si="3"/>
        <v>38468</v>
      </c>
      <c r="D130" s="29"/>
      <c r="E130" s="29">
        <f t="shared" si="4"/>
        <v>3373</v>
      </c>
      <c r="F130" s="29">
        <f>3629-463</f>
        <v>3166</v>
      </c>
      <c r="G130" s="29">
        <f>295-88</f>
        <v>207</v>
      </c>
      <c r="H130" s="29">
        <f>910-574-23</f>
        <v>313</v>
      </c>
      <c r="I130" s="29">
        <f>861-8</f>
        <v>853</v>
      </c>
      <c r="J130" s="29">
        <f>1298-101</f>
        <v>1197</v>
      </c>
      <c r="K130" s="29">
        <f>12050-98</f>
        <v>11952</v>
      </c>
      <c r="L130" s="29"/>
      <c r="M130" s="29"/>
      <c r="N130" s="29"/>
      <c r="O130" s="29"/>
      <c r="P130" s="29"/>
      <c r="Q130" s="29">
        <f>4823+699-31</f>
        <v>5491</v>
      </c>
      <c r="R130" s="29">
        <f>15381-295+203</f>
        <v>15289</v>
      </c>
    </row>
    <row r="131" spans="1:18" s="30" customFormat="1" ht="12" x14ac:dyDescent="0.2">
      <c r="A131" s="6">
        <v>123</v>
      </c>
      <c r="B131" s="5" t="s">
        <v>81</v>
      </c>
      <c r="C131" s="29">
        <f t="shared" si="3"/>
        <v>58391</v>
      </c>
      <c r="D131" s="29"/>
      <c r="E131" s="29">
        <f t="shared" si="4"/>
        <v>6063</v>
      </c>
      <c r="F131" s="29">
        <v>5547</v>
      </c>
      <c r="G131" s="29">
        <v>516</v>
      </c>
      <c r="H131" s="29">
        <f>1664-25</f>
        <v>1639</v>
      </c>
      <c r="I131" s="29">
        <f>701-1</f>
        <v>700</v>
      </c>
      <c r="J131" s="29">
        <f>2096-6</f>
        <v>2090</v>
      </c>
      <c r="K131" s="29">
        <f>20050-1</f>
        <v>20049</v>
      </c>
      <c r="L131" s="29"/>
      <c r="M131" s="29"/>
      <c r="N131" s="29"/>
      <c r="O131" s="29"/>
      <c r="P131" s="29"/>
      <c r="Q131" s="29">
        <f>10280+1025+61</f>
        <v>11366</v>
      </c>
      <c r="R131" s="29">
        <f>16690-516+310</f>
        <v>16484</v>
      </c>
    </row>
    <row r="132" spans="1:18" s="30" customFormat="1" ht="12" x14ac:dyDescent="0.2">
      <c r="A132" s="6">
        <v>124</v>
      </c>
      <c r="B132" s="5" t="s">
        <v>82</v>
      </c>
      <c r="C132" s="29">
        <f t="shared" si="3"/>
        <v>102891</v>
      </c>
      <c r="D132" s="29"/>
      <c r="E132" s="29">
        <f t="shared" si="4"/>
        <v>9331</v>
      </c>
      <c r="F132" s="29">
        <f>8852-224</f>
        <v>8628</v>
      </c>
      <c r="G132" s="29">
        <f>770-64-3</f>
        <v>703</v>
      </c>
      <c r="H132" s="29">
        <f>2213-100-43</f>
        <v>2070</v>
      </c>
      <c r="I132" s="29">
        <f>941+3</f>
        <v>944</v>
      </c>
      <c r="J132" s="29">
        <f>3216-69</f>
        <v>3147</v>
      </c>
      <c r="K132" s="29">
        <f>53390-65</f>
        <v>53325</v>
      </c>
      <c r="L132" s="29"/>
      <c r="M132" s="29"/>
      <c r="N132" s="29"/>
      <c r="O132" s="29"/>
      <c r="P132" s="29"/>
      <c r="Q132" s="29">
        <f>6963+1812+100+53</f>
        <v>8928</v>
      </c>
      <c r="R132" s="29">
        <f>25315-770+601</f>
        <v>25146</v>
      </c>
    </row>
    <row r="133" spans="1:18" s="30" customFormat="1" ht="12" x14ac:dyDescent="0.2">
      <c r="A133" s="6">
        <v>125</v>
      </c>
      <c r="B133" s="5" t="s">
        <v>83</v>
      </c>
      <c r="C133" s="29">
        <f t="shared" si="3"/>
        <v>97472</v>
      </c>
      <c r="D133" s="29"/>
      <c r="E133" s="29">
        <f t="shared" si="4"/>
        <v>8113</v>
      </c>
      <c r="F133" s="29">
        <f>7560-187</f>
        <v>7373</v>
      </c>
      <c r="G133" s="29">
        <f>733+7</f>
        <v>740</v>
      </c>
      <c r="H133" s="29">
        <f>2233-223</f>
        <v>2010</v>
      </c>
      <c r="I133" s="29">
        <f>440+42</f>
        <v>482</v>
      </c>
      <c r="J133" s="29">
        <f>3383-62</f>
        <v>3321</v>
      </c>
      <c r="K133" s="29">
        <f>24628-69</f>
        <v>24559</v>
      </c>
      <c r="L133" s="29"/>
      <c r="M133" s="29"/>
      <c r="N133" s="29"/>
      <c r="O133" s="29"/>
      <c r="P133" s="29"/>
      <c r="Q133" s="29">
        <f>19565+1721-118</f>
        <v>21168</v>
      </c>
      <c r="R133" s="29">
        <f>38027-733+525</f>
        <v>37819</v>
      </c>
    </row>
    <row r="134" spans="1:18" s="30" customFormat="1" ht="12" x14ac:dyDescent="0.2">
      <c r="A134" s="6">
        <v>126</v>
      </c>
      <c r="B134" s="5" t="s">
        <v>84</v>
      </c>
      <c r="C134" s="29">
        <f t="shared" si="3"/>
        <v>57505</v>
      </c>
      <c r="D134" s="29"/>
      <c r="E134" s="29">
        <f t="shared" si="4"/>
        <v>5772</v>
      </c>
      <c r="F134" s="29">
        <f>5340-6</f>
        <v>5334</v>
      </c>
      <c r="G134" s="29">
        <v>438</v>
      </c>
      <c r="H134" s="29">
        <f>1391-40</f>
        <v>1351</v>
      </c>
      <c r="I134" s="29">
        <f>673-12</f>
        <v>661</v>
      </c>
      <c r="J134" s="29">
        <f>1800-34</f>
        <v>1766</v>
      </c>
      <c r="K134" s="29">
        <f>22635-8</f>
        <v>22627</v>
      </c>
      <c r="L134" s="29"/>
      <c r="M134" s="29"/>
      <c r="N134" s="29"/>
      <c r="O134" s="29"/>
      <c r="P134" s="29"/>
      <c r="Q134" s="29">
        <f>6669+1012+60</f>
        <v>7741</v>
      </c>
      <c r="R134" s="29">
        <f>17726-438+299</f>
        <v>17587</v>
      </c>
    </row>
    <row r="135" spans="1:18" s="30" customFormat="1" ht="12" x14ac:dyDescent="0.2">
      <c r="A135" s="6">
        <v>127</v>
      </c>
      <c r="B135" s="5" t="s">
        <v>85</v>
      </c>
      <c r="C135" s="29">
        <f t="shared" si="3"/>
        <v>43558</v>
      </c>
      <c r="D135" s="29"/>
      <c r="E135" s="29">
        <f t="shared" si="4"/>
        <v>4240</v>
      </c>
      <c r="F135" s="29">
        <f>3946-18</f>
        <v>3928</v>
      </c>
      <c r="G135" s="29">
        <v>312</v>
      </c>
      <c r="H135" s="29">
        <f>1184-19</f>
        <v>1165</v>
      </c>
      <c r="I135" s="29">
        <f>1016-13</f>
        <v>1003</v>
      </c>
      <c r="J135" s="29">
        <f>1439-6</f>
        <v>1433</v>
      </c>
      <c r="K135" s="29">
        <f>18530-6</f>
        <v>18524</v>
      </c>
      <c r="L135" s="29"/>
      <c r="M135" s="29"/>
      <c r="N135" s="29"/>
      <c r="O135" s="29"/>
      <c r="P135" s="29"/>
      <c r="Q135" s="29">
        <f>9981+764+86</f>
        <v>10831</v>
      </c>
      <c r="R135" s="29">
        <f>6453-312+221</f>
        <v>6362</v>
      </c>
    </row>
    <row r="136" spans="1:18" s="30" customFormat="1" ht="12" x14ac:dyDescent="0.2">
      <c r="A136" s="6">
        <v>128</v>
      </c>
      <c r="B136" s="5" t="s">
        <v>86</v>
      </c>
      <c r="C136" s="29">
        <f t="shared" si="3"/>
        <v>61968</v>
      </c>
      <c r="D136" s="29"/>
      <c r="E136" s="29">
        <f t="shared" si="4"/>
        <v>6343</v>
      </c>
      <c r="F136" s="29">
        <f>5792-8</f>
        <v>5784</v>
      </c>
      <c r="G136" s="29">
        <f>501+60-2</f>
        <v>559</v>
      </c>
      <c r="H136" s="29">
        <f>1621-15</f>
        <v>1606</v>
      </c>
      <c r="I136" s="29">
        <v>771</v>
      </c>
      <c r="J136" s="29">
        <f>2155-30</f>
        <v>2125</v>
      </c>
      <c r="K136" s="29">
        <f>25736-26</f>
        <v>25710</v>
      </c>
      <c r="L136" s="29"/>
      <c r="M136" s="29"/>
      <c r="N136" s="29"/>
      <c r="O136" s="29"/>
      <c r="P136" s="29"/>
      <c r="Q136" s="29">
        <f>7759+1087+75</f>
        <v>8921</v>
      </c>
      <c r="R136" s="29">
        <f>16667-501+326</f>
        <v>16492</v>
      </c>
    </row>
    <row r="137" spans="1:18" s="30" customFormat="1" ht="12" x14ac:dyDescent="0.2">
      <c r="A137" s="6">
        <v>129</v>
      </c>
      <c r="B137" s="5" t="s">
        <v>87</v>
      </c>
      <c r="C137" s="29">
        <f t="shared" si="3"/>
        <v>105040</v>
      </c>
      <c r="D137" s="29"/>
      <c r="E137" s="29">
        <f t="shared" si="4"/>
        <v>10127</v>
      </c>
      <c r="F137" s="29">
        <f>9475-162</f>
        <v>9313</v>
      </c>
      <c r="G137" s="29">
        <f>815-1</f>
        <v>814</v>
      </c>
      <c r="H137" s="29">
        <f>2370-80</f>
        <v>2290</v>
      </c>
      <c r="I137" s="29">
        <f>671-15</f>
        <v>656</v>
      </c>
      <c r="J137" s="29">
        <f>3670-13</f>
        <v>3657</v>
      </c>
      <c r="K137" s="29">
        <f>42384-57</f>
        <v>42327</v>
      </c>
      <c r="L137" s="29"/>
      <c r="M137" s="29"/>
      <c r="N137" s="29"/>
      <c r="O137" s="29"/>
      <c r="P137" s="29"/>
      <c r="Q137" s="29">
        <f>17916+1851+19</f>
        <v>19786</v>
      </c>
      <c r="R137" s="29">
        <f>26467-815+545</f>
        <v>26197</v>
      </c>
    </row>
    <row r="138" spans="1:18" s="30" customFormat="1" ht="12" x14ac:dyDescent="0.2">
      <c r="A138" s="6">
        <v>130</v>
      </c>
      <c r="B138" s="5" t="s">
        <v>88</v>
      </c>
      <c r="C138" s="29">
        <f t="shared" ref="C138:C167" si="6">D138+E138+H138+I138+J138+K138+L138+O138+P138+Q138+R138</f>
        <v>48631</v>
      </c>
      <c r="D138" s="29"/>
      <c r="E138" s="29">
        <f t="shared" ref="E138:E166" si="7">F138+G138</f>
        <v>4398</v>
      </c>
      <c r="F138" s="29">
        <f>4500-473</f>
        <v>4027</v>
      </c>
      <c r="G138" s="29">
        <f>375-4</f>
        <v>371</v>
      </c>
      <c r="H138" s="29">
        <f>1125-11</f>
        <v>1114</v>
      </c>
      <c r="I138" s="29">
        <f>925+55</f>
        <v>980</v>
      </c>
      <c r="J138" s="29">
        <f>1709-46</f>
        <v>1663</v>
      </c>
      <c r="K138" s="29">
        <f>18347-516</f>
        <v>17831</v>
      </c>
      <c r="L138" s="29"/>
      <c r="M138" s="29"/>
      <c r="N138" s="29"/>
      <c r="O138" s="29"/>
      <c r="P138" s="29"/>
      <c r="Q138" s="29">
        <f>5977+872-34</f>
        <v>6815</v>
      </c>
      <c r="R138" s="29">
        <f>15944-375+261</f>
        <v>15830</v>
      </c>
    </row>
    <row r="139" spans="1:18" s="30" customFormat="1" ht="12" customHeight="1" x14ac:dyDescent="0.2">
      <c r="A139" s="6">
        <v>131</v>
      </c>
      <c r="B139" s="7" t="s">
        <v>186</v>
      </c>
      <c r="C139" s="29">
        <f t="shared" si="6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>
        <f>200-200</f>
        <v>0</v>
      </c>
      <c r="Q139" s="29"/>
      <c r="R139" s="29"/>
    </row>
    <row r="140" spans="1:18" s="30" customFormat="1" ht="36" x14ac:dyDescent="0.2">
      <c r="A140" s="6">
        <v>132</v>
      </c>
      <c r="B140" s="7" t="s">
        <v>89</v>
      </c>
      <c r="C140" s="29">
        <f t="shared" si="6"/>
        <v>29100</v>
      </c>
      <c r="D140" s="29"/>
      <c r="E140" s="29">
        <f t="shared" si="7"/>
        <v>4112</v>
      </c>
      <c r="F140" s="29">
        <f>7024-3275-30</f>
        <v>3719</v>
      </c>
      <c r="G140" s="29">
        <f>394-1</f>
        <v>393</v>
      </c>
      <c r="H140" s="29">
        <f>2077-1025-15</f>
        <v>1037</v>
      </c>
      <c r="I140" s="29"/>
      <c r="J140" s="29">
        <f>1200-7</f>
        <v>1193</v>
      </c>
      <c r="K140" s="29"/>
      <c r="L140" s="29">
        <f t="shared" si="5"/>
        <v>3118</v>
      </c>
      <c r="M140" s="29">
        <f>2635-732-43</f>
        <v>1860</v>
      </c>
      <c r="N140" s="29">
        <f>1757-488-11</f>
        <v>1258</v>
      </c>
      <c r="O140" s="29"/>
      <c r="P140" s="29"/>
      <c r="Q140" s="29">
        <f>3159+1025-54</f>
        <v>4130</v>
      </c>
      <c r="R140" s="29">
        <f>15682-394+222</f>
        <v>15510</v>
      </c>
    </row>
    <row r="141" spans="1:18" s="30" customFormat="1" ht="12" x14ac:dyDescent="0.2">
      <c r="A141" s="6">
        <v>133</v>
      </c>
      <c r="B141" s="5" t="s">
        <v>8</v>
      </c>
      <c r="C141" s="29">
        <f t="shared" si="6"/>
        <v>14779</v>
      </c>
      <c r="D141" s="29"/>
      <c r="E141" s="29">
        <f t="shared" si="7"/>
        <v>1146</v>
      </c>
      <c r="F141" s="29">
        <f>1130-1</f>
        <v>1129</v>
      </c>
      <c r="G141" s="29">
        <v>17</v>
      </c>
      <c r="H141" s="29"/>
      <c r="I141" s="29"/>
      <c r="J141" s="29">
        <v>50</v>
      </c>
      <c r="K141" s="29"/>
      <c r="L141" s="29"/>
      <c r="M141" s="29"/>
      <c r="N141" s="29"/>
      <c r="O141" s="29">
        <f>5787+7</f>
        <v>5794</v>
      </c>
      <c r="P141" s="29"/>
      <c r="Q141" s="29">
        <f>446+20</f>
        <v>466</v>
      </c>
      <c r="R141" s="29">
        <f>7253-17+87</f>
        <v>7323</v>
      </c>
    </row>
    <row r="142" spans="1:18" s="30" customFormat="1" ht="24" x14ac:dyDescent="0.2">
      <c r="A142" s="6">
        <v>134</v>
      </c>
      <c r="B142" s="7" t="s">
        <v>187</v>
      </c>
      <c r="C142" s="29">
        <f t="shared" si="6"/>
        <v>2984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>
        <f>3000-16</f>
        <v>2984</v>
      </c>
      <c r="Q142" s="29"/>
      <c r="R142" s="29"/>
    </row>
    <row r="143" spans="1:18" s="30" customFormat="1" ht="12" x14ac:dyDescent="0.2">
      <c r="A143" s="6">
        <v>135</v>
      </c>
      <c r="B143" s="5" t="s">
        <v>119</v>
      </c>
      <c r="C143" s="29">
        <f t="shared" si="6"/>
        <v>6189</v>
      </c>
      <c r="D143" s="29"/>
      <c r="E143" s="29">
        <f t="shared" si="7"/>
        <v>1643</v>
      </c>
      <c r="F143" s="29">
        <f>1600-113</f>
        <v>1487</v>
      </c>
      <c r="G143" s="29">
        <v>156</v>
      </c>
      <c r="H143" s="29"/>
      <c r="I143" s="29"/>
      <c r="J143" s="29">
        <f>1000-31</f>
        <v>969</v>
      </c>
      <c r="K143" s="29"/>
      <c r="L143" s="29"/>
      <c r="M143" s="29"/>
      <c r="N143" s="29"/>
      <c r="O143" s="29"/>
      <c r="P143" s="29"/>
      <c r="Q143" s="29">
        <f>800+7</f>
        <v>807</v>
      </c>
      <c r="R143" s="29">
        <f>2852-156+74</f>
        <v>2770</v>
      </c>
    </row>
    <row r="144" spans="1:18" s="30" customFormat="1" ht="12.75" customHeight="1" x14ac:dyDescent="0.2">
      <c r="A144" s="6">
        <v>136</v>
      </c>
      <c r="B144" s="7" t="s">
        <v>90</v>
      </c>
      <c r="C144" s="29">
        <f t="shared" si="6"/>
        <v>7785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>
        <f>8000-215</f>
        <v>7785</v>
      </c>
      <c r="Q144" s="29"/>
      <c r="R144" s="29"/>
    </row>
    <row r="145" spans="1:18" s="30" customFormat="1" ht="12" x14ac:dyDescent="0.2">
      <c r="A145" s="6">
        <v>137</v>
      </c>
      <c r="B145" s="5" t="s">
        <v>188</v>
      </c>
      <c r="C145" s="29">
        <f t="shared" si="6"/>
        <v>154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>
        <f>200-46</f>
        <v>154</v>
      </c>
      <c r="Q145" s="29"/>
      <c r="R145" s="29"/>
    </row>
    <row r="146" spans="1:18" s="30" customFormat="1" ht="12" x14ac:dyDescent="0.2">
      <c r="A146" s="6">
        <v>138</v>
      </c>
      <c r="B146" s="5" t="s">
        <v>189</v>
      </c>
      <c r="C146" s="29">
        <f t="shared" si="6"/>
        <v>200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>
        <v>200</v>
      </c>
      <c r="Q146" s="29"/>
      <c r="R146" s="29"/>
    </row>
    <row r="147" spans="1:18" s="30" customFormat="1" ht="12" x14ac:dyDescent="0.2">
      <c r="A147" s="6">
        <v>139</v>
      </c>
      <c r="B147" s="5" t="s">
        <v>190</v>
      </c>
      <c r="C147" s="29">
        <f t="shared" si="6"/>
        <v>202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>
        <f>200+2</f>
        <v>202</v>
      </c>
      <c r="Q147" s="29"/>
      <c r="R147" s="29"/>
    </row>
    <row r="148" spans="1:18" s="30" customFormat="1" ht="12" x14ac:dyDescent="0.2">
      <c r="A148" s="6">
        <v>140</v>
      </c>
      <c r="B148" s="5" t="s">
        <v>121</v>
      </c>
      <c r="C148" s="29">
        <f t="shared" si="6"/>
        <v>201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>
        <f>200+1</f>
        <v>201</v>
      </c>
      <c r="Q148" s="29"/>
      <c r="R148" s="29"/>
    </row>
    <row r="149" spans="1:18" s="30" customFormat="1" ht="12" x14ac:dyDescent="0.2">
      <c r="A149" s="6">
        <v>141</v>
      </c>
      <c r="B149" s="5" t="s">
        <v>191</v>
      </c>
      <c r="C149" s="29">
        <f t="shared" si="6"/>
        <v>0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>
        <f>200-200</f>
        <v>0</v>
      </c>
      <c r="Q149" s="29"/>
      <c r="R149" s="29"/>
    </row>
    <row r="150" spans="1:18" s="30" customFormat="1" ht="12" x14ac:dyDescent="0.2">
      <c r="A150" s="6">
        <v>142</v>
      </c>
      <c r="B150" s="15" t="s">
        <v>192</v>
      </c>
      <c r="C150" s="29">
        <f t="shared" si="6"/>
        <v>0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>
        <f>400-400</f>
        <v>0</v>
      </c>
      <c r="Q150" s="29"/>
      <c r="R150" s="29"/>
    </row>
    <row r="151" spans="1:18" s="30" customFormat="1" ht="12" x14ac:dyDescent="0.2">
      <c r="A151" s="6">
        <v>143</v>
      </c>
      <c r="B151" s="5" t="s">
        <v>193</v>
      </c>
      <c r="C151" s="29">
        <f t="shared" si="6"/>
        <v>108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>
        <f>120-12</f>
        <v>108</v>
      </c>
      <c r="Q151" s="29"/>
      <c r="R151" s="29"/>
    </row>
    <row r="152" spans="1:18" s="30" customFormat="1" ht="12" x14ac:dyDescent="0.2">
      <c r="A152" s="6">
        <v>144</v>
      </c>
      <c r="B152" s="5" t="s">
        <v>194</v>
      </c>
      <c r="C152" s="29">
        <f t="shared" si="6"/>
        <v>201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>
        <f>200+1</f>
        <v>201</v>
      </c>
      <c r="Q152" s="29"/>
      <c r="R152" s="29"/>
    </row>
    <row r="153" spans="1:18" s="30" customFormat="1" ht="12" x14ac:dyDescent="0.2">
      <c r="A153" s="6">
        <v>145</v>
      </c>
      <c r="B153" s="5" t="s">
        <v>123</v>
      </c>
      <c r="C153" s="29">
        <f t="shared" si="6"/>
        <v>224500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>
        <f>220000+680+4000-135-45</f>
        <v>224500</v>
      </c>
      <c r="P153" s="29"/>
      <c r="Q153" s="29"/>
      <c r="R153" s="29"/>
    </row>
    <row r="154" spans="1:18" s="30" customFormat="1" ht="12" x14ac:dyDescent="0.2">
      <c r="A154" s="6">
        <v>146</v>
      </c>
      <c r="B154" s="5" t="s">
        <v>7</v>
      </c>
      <c r="C154" s="29">
        <f t="shared" si="6"/>
        <v>119263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>
        <f>119000+263</f>
        <v>119263</v>
      </c>
      <c r="P154" s="29"/>
      <c r="Q154" s="29"/>
      <c r="R154" s="29"/>
    </row>
    <row r="155" spans="1:18" s="30" customFormat="1" ht="12" x14ac:dyDescent="0.2">
      <c r="A155" s="6">
        <v>147</v>
      </c>
      <c r="B155" s="5" t="s">
        <v>3</v>
      </c>
      <c r="C155" s="29">
        <f t="shared" si="6"/>
        <v>77941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>
        <f>73000+4000+766+175</f>
        <v>77941</v>
      </c>
      <c r="P155" s="29"/>
      <c r="Q155" s="29"/>
      <c r="R155" s="29"/>
    </row>
    <row r="156" spans="1:18" s="30" customFormat="1" ht="12" x14ac:dyDescent="0.2">
      <c r="A156" s="6">
        <v>148</v>
      </c>
      <c r="B156" s="5" t="s">
        <v>195</v>
      </c>
      <c r="C156" s="29">
        <f t="shared" si="6"/>
        <v>2000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>
        <v>2000</v>
      </c>
      <c r="P156" s="29"/>
      <c r="Q156" s="29"/>
      <c r="R156" s="29"/>
    </row>
    <row r="157" spans="1:18" s="30" customFormat="1" ht="12" x14ac:dyDescent="0.2">
      <c r="A157" s="6">
        <v>149</v>
      </c>
      <c r="B157" s="5" t="s">
        <v>92</v>
      </c>
      <c r="C157" s="29">
        <f t="shared" si="6"/>
        <v>6499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>
        <f>6500-1</f>
        <v>6499</v>
      </c>
      <c r="P157" s="29"/>
      <c r="Q157" s="29"/>
      <c r="R157" s="29"/>
    </row>
    <row r="158" spans="1:18" s="30" customFormat="1" ht="12" x14ac:dyDescent="0.2">
      <c r="A158" s="6">
        <v>150</v>
      </c>
      <c r="B158" s="5" t="s">
        <v>93</v>
      </c>
      <c r="C158" s="29">
        <f t="shared" si="6"/>
        <v>56488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>
        <f>56502-14</f>
        <v>56488</v>
      </c>
      <c r="P158" s="29"/>
      <c r="Q158" s="29"/>
      <c r="R158" s="29"/>
    </row>
    <row r="159" spans="1:18" s="30" customFormat="1" ht="12" x14ac:dyDescent="0.2">
      <c r="A159" s="6">
        <v>151</v>
      </c>
      <c r="B159" s="5" t="s">
        <v>124</v>
      </c>
      <c r="C159" s="29">
        <f t="shared" si="6"/>
        <v>110504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>
        <f>110000+680-135-41</f>
        <v>110504</v>
      </c>
      <c r="P159" s="29"/>
      <c r="Q159" s="29"/>
      <c r="R159" s="29"/>
    </row>
    <row r="160" spans="1:18" s="30" customFormat="1" ht="12" x14ac:dyDescent="0.2">
      <c r="A160" s="6">
        <v>152</v>
      </c>
      <c r="B160" s="5" t="s">
        <v>6</v>
      </c>
      <c r="C160" s="29">
        <f t="shared" si="6"/>
        <v>45009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>
        <f>65500-65500</f>
        <v>0</v>
      </c>
      <c r="P160" s="29">
        <f>45075-27-39</f>
        <v>45009</v>
      </c>
      <c r="Q160" s="29"/>
      <c r="R160" s="29"/>
    </row>
    <row r="161" spans="1:19" s="30" customFormat="1" ht="12" x14ac:dyDescent="0.2">
      <c r="A161" s="6">
        <v>153</v>
      </c>
      <c r="B161" s="5" t="s">
        <v>125</v>
      </c>
      <c r="C161" s="29">
        <f t="shared" si="6"/>
        <v>65460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>
        <f>65500-40</f>
        <v>65460</v>
      </c>
      <c r="P161" s="29"/>
      <c r="Q161" s="29"/>
      <c r="R161" s="29"/>
    </row>
    <row r="162" spans="1:19" s="30" customFormat="1" ht="12" x14ac:dyDescent="0.2">
      <c r="A162" s="6">
        <v>154</v>
      </c>
      <c r="B162" s="5" t="s">
        <v>126</v>
      </c>
      <c r="C162" s="29">
        <f t="shared" si="6"/>
        <v>19779</v>
      </c>
      <c r="D162" s="29">
        <f>19781-2</f>
        <v>19779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9" s="30" customFormat="1" ht="12" x14ac:dyDescent="0.2">
      <c r="A163" s="6">
        <v>155</v>
      </c>
      <c r="B163" s="5" t="s">
        <v>2</v>
      </c>
      <c r="C163" s="29">
        <f t="shared" si="6"/>
        <v>57371</v>
      </c>
      <c r="D163" s="29"/>
      <c r="E163" s="29"/>
      <c r="F163" s="29"/>
      <c r="G163" s="29"/>
      <c r="H163" s="29"/>
      <c r="I163" s="29"/>
      <c r="J163" s="29"/>
      <c r="K163" s="29"/>
      <c r="L163" s="29">
        <f t="shared" ref="L163" si="8">M163+N163</f>
        <v>4391</v>
      </c>
      <c r="M163" s="29">
        <f>3075-1</f>
        <v>3074</v>
      </c>
      <c r="N163" s="29">
        <v>1317</v>
      </c>
      <c r="O163" s="29">
        <f>53000-20</f>
        <v>52980</v>
      </c>
      <c r="P163" s="29"/>
      <c r="Q163" s="29"/>
      <c r="R163" s="29"/>
    </row>
    <row r="164" spans="1:19" s="30" customFormat="1" ht="12" x14ac:dyDescent="0.2">
      <c r="A164" s="6">
        <v>156</v>
      </c>
      <c r="B164" s="5" t="s">
        <v>0</v>
      </c>
      <c r="C164" s="29">
        <f t="shared" si="6"/>
        <v>1232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>
        <f>1800-566-2</f>
        <v>1232</v>
      </c>
      <c r="P164" s="29"/>
      <c r="Q164" s="29"/>
      <c r="R164" s="29"/>
    </row>
    <row r="165" spans="1:19" s="30" customFormat="1" ht="12" x14ac:dyDescent="0.2">
      <c r="A165" s="6">
        <v>157</v>
      </c>
      <c r="B165" s="5" t="s">
        <v>127</v>
      </c>
      <c r="C165" s="29">
        <f t="shared" si="6"/>
        <v>57307</v>
      </c>
      <c r="D165" s="29"/>
      <c r="E165" s="29">
        <f t="shared" si="7"/>
        <v>7466</v>
      </c>
      <c r="F165" s="29">
        <f>6525+378-8</f>
        <v>6895</v>
      </c>
      <c r="G165" s="29">
        <f>572-1</f>
        <v>571</v>
      </c>
      <c r="H165" s="29">
        <f>1952-43</f>
        <v>1909</v>
      </c>
      <c r="I165" s="29">
        <v>0</v>
      </c>
      <c r="J165" s="29">
        <f>4367-1</f>
        <v>4366</v>
      </c>
      <c r="K165" s="29">
        <v>0</v>
      </c>
      <c r="L165" s="29"/>
      <c r="M165" s="29"/>
      <c r="N165" s="29"/>
      <c r="O165" s="29">
        <f>1400+175</f>
        <v>1575</v>
      </c>
      <c r="P165" s="29"/>
      <c r="Q165" s="29">
        <f>22965+1060+2</f>
        <v>24027</v>
      </c>
      <c r="R165" s="29">
        <f>18107-572+429</f>
        <v>17964</v>
      </c>
    </row>
    <row r="166" spans="1:19" s="33" customFormat="1" ht="24" customHeight="1" x14ac:dyDescent="0.2">
      <c r="A166" s="6">
        <v>158</v>
      </c>
      <c r="B166" s="34" t="s">
        <v>196</v>
      </c>
      <c r="C166" s="29">
        <f t="shared" si="6"/>
        <v>132619</v>
      </c>
      <c r="D166" s="32"/>
      <c r="E166" s="29">
        <f t="shared" si="7"/>
        <v>12409</v>
      </c>
      <c r="F166" s="32">
        <f>10839+422-120</f>
        <v>11141</v>
      </c>
      <c r="G166" s="29">
        <f>1270-2</f>
        <v>1268</v>
      </c>
      <c r="H166" s="32">
        <f>3250-131</f>
        <v>3119</v>
      </c>
      <c r="I166" s="32">
        <f>1477+83</f>
        <v>1560</v>
      </c>
      <c r="J166" s="32">
        <f>4391-41</f>
        <v>4350</v>
      </c>
      <c r="K166" s="32">
        <f>75078-46</f>
        <v>75032</v>
      </c>
      <c r="L166" s="32"/>
      <c r="M166" s="32"/>
      <c r="N166" s="32"/>
      <c r="O166" s="32"/>
      <c r="P166" s="32"/>
      <c r="Q166" s="32">
        <f>8836+2625+72</f>
        <v>11533</v>
      </c>
      <c r="R166" s="32">
        <f>25013-1270+873</f>
        <v>24616</v>
      </c>
      <c r="S166" s="30"/>
    </row>
    <row r="167" spans="1:19" s="30" customFormat="1" ht="12" x14ac:dyDescent="0.2">
      <c r="A167" s="6">
        <v>159</v>
      </c>
      <c r="B167" s="5" t="s">
        <v>129</v>
      </c>
      <c r="C167" s="29">
        <f t="shared" si="6"/>
        <v>2979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>
        <f>3000-21</f>
        <v>2979</v>
      </c>
      <c r="P167" s="29"/>
      <c r="Q167" s="29"/>
      <c r="R167" s="29"/>
    </row>
    <row r="168" spans="1:19" s="30" customFormat="1" ht="12" x14ac:dyDescent="0.2">
      <c r="A168" s="15"/>
      <c r="B168" s="5" t="s">
        <v>96</v>
      </c>
      <c r="C168" s="29">
        <f>326248-148149-1851+10313</f>
        <v>186561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9" s="36" customFormat="1" ht="12" x14ac:dyDescent="0.2">
      <c r="A169" s="20"/>
      <c r="B169" s="35" t="s">
        <v>4</v>
      </c>
      <c r="C169" s="20">
        <f t="shared" ref="C169" si="9">SUM(C9:C167)+C168</f>
        <v>9540535</v>
      </c>
      <c r="D169" s="20">
        <f>SUM(D9:D167)</f>
        <v>404542</v>
      </c>
      <c r="E169" s="20">
        <f t="shared" ref="E169:R169" si="10">SUM(E9:E167)</f>
        <v>764741</v>
      </c>
      <c r="F169" s="20">
        <f t="shared" si="10"/>
        <v>700438</v>
      </c>
      <c r="G169" s="20">
        <f t="shared" si="10"/>
        <v>64303</v>
      </c>
      <c r="H169" s="20">
        <f t="shared" si="10"/>
        <v>184548</v>
      </c>
      <c r="I169" s="20">
        <f t="shared" si="10"/>
        <v>105897</v>
      </c>
      <c r="J169" s="20">
        <f t="shared" si="10"/>
        <v>312126</v>
      </c>
      <c r="K169" s="20">
        <f t="shared" si="10"/>
        <v>3605719</v>
      </c>
      <c r="L169" s="20">
        <f t="shared" si="10"/>
        <v>47746</v>
      </c>
      <c r="M169" s="20">
        <f t="shared" si="10"/>
        <v>32226</v>
      </c>
      <c r="N169" s="20">
        <f t="shared" si="10"/>
        <v>15520</v>
      </c>
      <c r="O169" s="20">
        <f t="shared" si="10"/>
        <v>728614</v>
      </c>
      <c r="P169" s="20">
        <f t="shared" si="10"/>
        <v>241013</v>
      </c>
      <c r="Q169" s="20">
        <f t="shared" si="10"/>
        <v>1167417</v>
      </c>
      <c r="R169" s="20">
        <f t="shared" si="10"/>
        <v>1791611</v>
      </c>
      <c r="S169" s="30"/>
    </row>
    <row r="170" spans="1:19" x14ac:dyDescent="0.25">
      <c r="B170" s="53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</row>
    <row r="171" spans="1:19" x14ac:dyDescent="0.25">
      <c r="B171" s="53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9" x14ac:dyDescent="0.25">
      <c r="L172" s="37"/>
    </row>
    <row r="173" spans="1:19" x14ac:dyDescent="0.25">
      <c r="E173" s="37"/>
    </row>
    <row r="174" spans="1:19" x14ac:dyDescent="0.2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</row>
    <row r="175" spans="1:19" x14ac:dyDescent="0.25">
      <c r="O175" s="37"/>
      <c r="R175" s="37"/>
    </row>
    <row r="176" spans="1:19" x14ac:dyDescent="0.25">
      <c r="C176" s="37"/>
    </row>
    <row r="177" spans="2:16" x14ac:dyDescent="0.25">
      <c r="B177" s="26"/>
      <c r="O177" s="37"/>
      <c r="P177" s="37"/>
    </row>
    <row r="179" spans="2:16" x14ac:dyDescent="0.25">
      <c r="B179" s="26"/>
      <c r="O179" s="37"/>
    </row>
  </sheetData>
  <mergeCells count="23">
    <mergeCell ref="P4:P7"/>
    <mergeCell ref="Q4:R4"/>
    <mergeCell ref="E5:G5"/>
    <mergeCell ref="H5:H7"/>
    <mergeCell ref="M5:M7"/>
    <mergeCell ref="N5:N7"/>
    <mergeCell ref="Q5:Q7"/>
    <mergeCell ref="A1:R1"/>
    <mergeCell ref="A3:A7"/>
    <mergeCell ref="B3:B7"/>
    <mergeCell ref="C3:C7"/>
    <mergeCell ref="D3:R3"/>
    <mergeCell ref="D4:D7"/>
    <mergeCell ref="E4:H4"/>
    <mergeCell ref="I4:I7"/>
    <mergeCell ref="J4:J7"/>
    <mergeCell ref="K4:K7"/>
    <mergeCell ref="R5:R7"/>
    <mergeCell ref="E6:E7"/>
    <mergeCell ref="F6:G6"/>
    <mergeCell ref="L4:L7"/>
    <mergeCell ref="M4:N4"/>
    <mergeCell ref="O4:O7"/>
  </mergeCells>
  <pageMargins left="0" right="0" top="0.59055118110236227" bottom="0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zoomScale="120" zoomScaleNormal="120" workbookViewId="0">
      <pane xSplit="2" ySplit="7" topLeftCell="C167" activePane="bottomRight" state="frozen"/>
      <selection pane="topRight" activeCell="C1" sqref="C1"/>
      <selection pane="bottomLeft" activeCell="A7" sqref="A7"/>
      <selection pane="bottomRight" activeCell="D183" sqref="D183"/>
    </sheetView>
  </sheetViews>
  <sheetFormatPr defaultRowHeight="15" x14ac:dyDescent="0.25"/>
  <cols>
    <col min="1" max="1" width="3.5703125" style="1" customWidth="1"/>
    <col min="2" max="2" width="31.140625" style="22" customWidth="1"/>
    <col min="3" max="4" width="10.7109375" style="1" customWidth="1"/>
    <col min="5" max="5" width="9.140625" style="1"/>
    <col min="6" max="6" width="9.140625" style="14"/>
    <col min="7" max="7" width="9.140625" style="1"/>
    <col min="8" max="8" width="12.28515625" style="1" customWidth="1"/>
    <col min="9" max="9" width="9.140625" style="1"/>
    <col min="10" max="10" width="11.28515625" style="1" customWidth="1"/>
    <col min="11" max="16384" width="9.140625" style="1"/>
  </cols>
  <sheetData>
    <row r="1" spans="1:10" ht="18.75" customHeight="1" x14ac:dyDescent="0.25">
      <c r="A1" s="166" t="s">
        <v>197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1.5" customHeigh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s="2" customFormat="1" ht="12.75" customHeight="1" x14ac:dyDescent="0.2">
      <c r="A3" s="174" t="s">
        <v>10</v>
      </c>
      <c r="B3" s="174" t="s">
        <v>97</v>
      </c>
      <c r="C3" s="174" t="s">
        <v>198</v>
      </c>
      <c r="D3" s="174" t="s">
        <v>199</v>
      </c>
      <c r="E3" s="170" t="s">
        <v>200</v>
      </c>
      <c r="F3" s="170"/>
      <c r="G3" s="170"/>
      <c r="H3" s="170"/>
      <c r="I3" s="170"/>
      <c r="J3" s="170"/>
    </row>
    <row r="4" spans="1:10" s="2" customFormat="1" ht="12" customHeight="1" x14ac:dyDescent="0.2">
      <c r="A4" s="175"/>
      <c r="B4" s="175"/>
      <c r="C4" s="175"/>
      <c r="D4" s="175"/>
      <c r="E4" s="174" t="s">
        <v>5</v>
      </c>
      <c r="F4" s="170" t="s">
        <v>12</v>
      </c>
      <c r="G4" s="170"/>
      <c r="H4" s="170"/>
      <c r="I4" s="170"/>
      <c r="J4" s="170"/>
    </row>
    <row r="5" spans="1:10" s="2" customFormat="1" ht="20.25" customHeight="1" x14ac:dyDescent="0.2">
      <c r="A5" s="175"/>
      <c r="B5" s="175"/>
      <c r="C5" s="175"/>
      <c r="D5" s="175"/>
      <c r="E5" s="175"/>
      <c r="F5" s="171" t="s">
        <v>201</v>
      </c>
      <c r="G5" s="173"/>
      <c r="H5" s="174" t="s">
        <v>202</v>
      </c>
      <c r="I5" s="174" t="s">
        <v>203</v>
      </c>
      <c r="J5" s="180" t="s">
        <v>204</v>
      </c>
    </row>
    <row r="6" spans="1:10" s="2" customFormat="1" ht="45" x14ac:dyDescent="0.2">
      <c r="A6" s="176"/>
      <c r="B6" s="176"/>
      <c r="C6" s="176"/>
      <c r="D6" s="176"/>
      <c r="E6" s="176"/>
      <c r="F6" s="3" t="s">
        <v>145</v>
      </c>
      <c r="G6" s="51" t="s">
        <v>146</v>
      </c>
      <c r="H6" s="176"/>
      <c r="I6" s="176"/>
      <c r="J6" s="181"/>
    </row>
    <row r="7" spans="1:10" ht="11.25" customHeight="1" x14ac:dyDescent="0.25">
      <c r="A7" s="38">
        <v>1</v>
      </c>
      <c r="B7" s="4">
        <v>2</v>
      </c>
      <c r="C7" s="38">
        <v>3</v>
      </c>
      <c r="D7" s="4">
        <v>4</v>
      </c>
      <c r="E7" s="38">
        <v>5</v>
      </c>
      <c r="F7" s="4">
        <v>6</v>
      </c>
      <c r="G7" s="38">
        <v>7</v>
      </c>
      <c r="H7" s="4">
        <v>8</v>
      </c>
      <c r="I7" s="38">
        <v>9</v>
      </c>
      <c r="J7" s="4">
        <v>10</v>
      </c>
    </row>
    <row r="8" spans="1:10" ht="10.5" customHeight="1" x14ac:dyDescent="0.25">
      <c r="A8" s="38">
        <v>1</v>
      </c>
      <c r="B8" s="5" t="s">
        <v>14</v>
      </c>
      <c r="C8" s="6">
        <f>50339+250+250</f>
        <v>50839</v>
      </c>
      <c r="D8" s="6"/>
      <c r="E8" s="6">
        <f>F8+G8+H8+I8+J8</f>
        <v>178396</v>
      </c>
      <c r="F8" s="6">
        <f>34901+1025+798+600+31</f>
        <v>37355</v>
      </c>
      <c r="G8" s="6">
        <v>138817</v>
      </c>
      <c r="H8" s="6"/>
      <c r="I8" s="6">
        <f>2236-12</f>
        <v>2224</v>
      </c>
      <c r="J8" s="6"/>
    </row>
    <row r="9" spans="1:10" ht="10.5" customHeight="1" x14ac:dyDescent="0.25">
      <c r="A9" s="38">
        <v>2</v>
      </c>
      <c r="B9" s="5" t="s">
        <v>15</v>
      </c>
      <c r="C9" s="6">
        <v>22449</v>
      </c>
      <c r="D9" s="6"/>
      <c r="E9" s="6">
        <f t="shared" ref="E9:E81" si="0">F9+G9+H9+I9+J9</f>
        <v>77662</v>
      </c>
      <c r="F9" s="6">
        <f>16174+51</f>
        <v>16225</v>
      </c>
      <c r="G9" s="6">
        <v>61437</v>
      </c>
      <c r="H9" s="6"/>
      <c r="I9" s="6"/>
      <c r="J9" s="6"/>
    </row>
    <row r="10" spans="1:10" ht="10.5" customHeight="1" x14ac:dyDescent="0.25">
      <c r="A10" s="38">
        <v>3</v>
      </c>
      <c r="B10" s="5" t="s">
        <v>16</v>
      </c>
      <c r="C10" s="6">
        <v>12956</v>
      </c>
      <c r="D10" s="6"/>
      <c r="E10" s="6">
        <f t="shared" si="0"/>
        <v>47368</v>
      </c>
      <c r="F10" s="6">
        <f>8551-256-19</f>
        <v>8276</v>
      </c>
      <c r="G10" s="6">
        <v>39092</v>
      </c>
      <c r="H10" s="6"/>
      <c r="I10" s="6"/>
      <c r="J10" s="6"/>
    </row>
    <row r="11" spans="1:10" ht="10.5" customHeight="1" x14ac:dyDescent="0.25">
      <c r="A11" s="38">
        <v>4</v>
      </c>
      <c r="B11" s="5" t="s">
        <v>17</v>
      </c>
      <c r="C11" s="6">
        <v>8613</v>
      </c>
      <c r="D11" s="6"/>
      <c r="E11" s="6">
        <f t="shared" si="0"/>
        <v>29623</v>
      </c>
      <c r="F11" s="6">
        <f>6914-135-8</f>
        <v>6771</v>
      </c>
      <c r="G11" s="6">
        <v>22852</v>
      </c>
      <c r="H11" s="6"/>
      <c r="I11" s="6"/>
      <c r="J11" s="6"/>
    </row>
    <row r="12" spans="1:10" ht="10.5" customHeight="1" x14ac:dyDescent="0.25">
      <c r="A12" s="38">
        <v>5</v>
      </c>
      <c r="B12" s="5" t="s">
        <v>18</v>
      </c>
      <c r="C12" s="6">
        <v>15782</v>
      </c>
      <c r="D12" s="6"/>
      <c r="E12" s="6">
        <f t="shared" si="0"/>
        <v>55508</v>
      </c>
      <c r="F12" s="6">
        <f>13525-200-98-72</f>
        <v>13155</v>
      </c>
      <c r="G12" s="6">
        <v>42353</v>
      </c>
      <c r="H12" s="6"/>
      <c r="I12" s="6"/>
      <c r="J12" s="6"/>
    </row>
    <row r="13" spans="1:10" ht="10.5" customHeight="1" x14ac:dyDescent="0.25">
      <c r="A13" s="38">
        <v>6</v>
      </c>
      <c r="B13" s="5" t="s">
        <v>19</v>
      </c>
      <c r="C13" s="6">
        <f>24956-500</f>
        <v>24456</v>
      </c>
      <c r="D13" s="6"/>
      <c r="E13" s="6">
        <f t="shared" si="0"/>
        <v>86128</v>
      </c>
      <c r="F13" s="6">
        <f>19600-76-55</f>
        <v>19469</v>
      </c>
      <c r="G13" s="6">
        <v>66659</v>
      </c>
      <c r="H13" s="6"/>
      <c r="I13" s="6"/>
      <c r="J13" s="6"/>
    </row>
    <row r="14" spans="1:10" ht="10.5" customHeight="1" x14ac:dyDescent="0.25">
      <c r="A14" s="38">
        <v>7</v>
      </c>
      <c r="B14" s="5" t="s">
        <v>149</v>
      </c>
      <c r="C14" s="6">
        <f>500-50</f>
        <v>450</v>
      </c>
      <c r="D14" s="6"/>
      <c r="E14" s="6">
        <f t="shared" si="0"/>
        <v>399</v>
      </c>
      <c r="F14" s="6"/>
      <c r="G14" s="6"/>
      <c r="H14" s="6">
        <f>400-1</f>
        <v>399</v>
      </c>
      <c r="I14" s="6"/>
      <c r="J14" s="6"/>
    </row>
    <row r="15" spans="1:10" ht="10.5" customHeight="1" x14ac:dyDescent="0.25">
      <c r="A15" s="38">
        <v>8</v>
      </c>
      <c r="B15" s="5" t="s">
        <v>150</v>
      </c>
      <c r="C15" s="6">
        <f>500-200-100-46</f>
        <v>154</v>
      </c>
      <c r="D15" s="6"/>
      <c r="E15" s="6">
        <f t="shared" si="0"/>
        <v>199</v>
      </c>
      <c r="F15" s="6"/>
      <c r="G15" s="6"/>
      <c r="H15" s="6">
        <f>200-1</f>
        <v>199</v>
      </c>
      <c r="I15" s="6"/>
      <c r="J15" s="6"/>
    </row>
    <row r="16" spans="1:10" ht="10.5" customHeight="1" x14ac:dyDescent="0.25">
      <c r="A16" s="38">
        <v>9</v>
      </c>
      <c r="B16" s="5" t="s">
        <v>151</v>
      </c>
      <c r="C16" s="6">
        <f>500-250-250</f>
        <v>0</v>
      </c>
      <c r="D16" s="6"/>
      <c r="E16" s="6">
        <f t="shared" si="0"/>
        <v>0</v>
      </c>
      <c r="F16" s="6"/>
      <c r="G16" s="6"/>
      <c r="H16" s="6">
        <f>500-500</f>
        <v>0</v>
      </c>
      <c r="I16" s="6"/>
      <c r="J16" s="6"/>
    </row>
    <row r="17" spans="1:10" ht="10.5" customHeight="1" x14ac:dyDescent="0.25">
      <c r="A17" s="38">
        <v>10</v>
      </c>
      <c r="B17" s="5" t="s">
        <v>152</v>
      </c>
      <c r="C17" s="6">
        <f>500-100-34</f>
        <v>366</v>
      </c>
      <c r="D17" s="6"/>
      <c r="E17" s="6">
        <f t="shared" si="0"/>
        <v>172</v>
      </c>
      <c r="F17" s="6"/>
      <c r="G17" s="6"/>
      <c r="H17" s="6">
        <f>200-28</f>
        <v>172</v>
      </c>
      <c r="I17" s="6"/>
      <c r="J17" s="6"/>
    </row>
    <row r="18" spans="1:10" ht="10.5" customHeight="1" x14ac:dyDescent="0.25">
      <c r="A18" s="38">
        <v>11</v>
      </c>
      <c r="B18" s="5" t="s">
        <v>153</v>
      </c>
      <c r="C18" s="6"/>
      <c r="D18" s="6"/>
      <c r="E18" s="6">
        <f t="shared" si="0"/>
        <v>199</v>
      </c>
      <c r="F18" s="6"/>
      <c r="G18" s="6"/>
      <c r="H18" s="6">
        <f>200-1</f>
        <v>199</v>
      </c>
      <c r="I18" s="6"/>
      <c r="J18" s="6"/>
    </row>
    <row r="19" spans="1:10" ht="10.5" customHeight="1" x14ac:dyDescent="0.25">
      <c r="A19" s="38">
        <v>12</v>
      </c>
      <c r="B19" s="5" t="s">
        <v>205</v>
      </c>
      <c r="C19" s="6"/>
      <c r="D19" s="6"/>
      <c r="E19" s="6">
        <f t="shared" si="0"/>
        <v>1500</v>
      </c>
      <c r="F19" s="6"/>
      <c r="G19" s="6"/>
      <c r="H19" s="6">
        <f>1500+500-500</f>
        <v>1500</v>
      </c>
      <c r="I19" s="6"/>
      <c r="J19" s="6"/>
    </row>
    <row r="20" spans="1:10" ht="10.5" customHeight="1" x14ac:dyDescent="0.25">
      <c r="A20" s="38">
        <v>13</v>
      </c>
      <c r="B20" s="5" t="s">
        <v>20</v>
      </c>
      <c r="C20" s="6">
        <f>57740+324</f>
        <v>58064</v>
      </c>
      <c r="D20" s="6"/>
      <c r="E20" s="6">
        <f t="shared" si="0"/>
        <v>205910</v>
      </c>
      <c r="F20" s="6">
        <f>59381+500+217</f>
        <v>60098</v>
      </c>
      <c r="G20" s="6">
        <v>140270</v>
      </c>
      <c r="H20" s="6"/>
      <c r="I20" s="6">
        <f>5534+8</f>
        <v>5542</v>
      </c>
      <c r="J20" s="6"/>
    </row>
    <row r="21" spans="1:10" ht="10.5" customHeight="1" x14ac:dyDescent="0.25">
      <c r="A21" s="38">
        <v>14</v>
      </c>
      <c r="B21" s="5" t="s">
        <v>21</v>
      </c>
      <c r="C21" s="6">
        <f>40919+218</f>
        <v>41137</v>
      </c>
      <c r="D21" s="6"/>
      <c r="E21" s="6">
        <f t="shared" si="0"/>
        <v>140363</v>
      </c>
      <c r="F21" s="6">
        <f>49615-1178+47</f>
        <v>48484</v>
      </c>
      <c r="G21" s="6">
        <v>91879</v>
      </c>
      <c r="H21" s="6"/>
      <c r="I21" s="6"/>
      <c r="J21" s="6"/>
    </row>
    <row r="22" spans="1:10" ht="10.5" customHeight="1" x14ac:dyDescent="0.25">
      <c r="A22" s="38">
        <v>15</v>
      </c>
      <c r="B22" s="5" t="s">
        <v>22</v>
      </c>
      <c r="C22" s="6">
        <v>23739</v>
      </c>
      <c r="D22" s="6"/>
      <c r="E22" s="6">
        <f t="shared" si="0"/>
        <v>81199</v>
      </c>
      <c r="F22" s="6">
        <f>10186-201-147</f>
        <v>9838</v>
      </c>
      <c r="G22" s="6">
        <v>71361</v>
      </c>
      <c r="H22" s="6"/>
      <c r="I22" s="6"/>
      <c r="J22" s="6"/>
    </row>
    <row r="23" spans="1:10" ht="10.5" customHeight="1" x14ac:dyDescent="0.25">
      <c r="A23" s="38">
        <v>16</v>
      </c>
      <c r="B23" s="5" t="s">
        <v>23</v>
      </c>
      <c r="C23" s="6">
        <v>10235</v>
      </c>
      <c r="D23" s="6"/>
      <c r="E23" s="6">
        <f t="shared" si="0"/>
        <v>35445</v>
      </c>
      <c r="F23" s="6">
        <f>10617+12</f>
        <v>10629</v>
      </c>
      <c r="G23" s="6">
        <v>24816</v>
      </c>
      <c r="H23" s="6"/>
      <c r="I23" s="6"/>
      <c r="J23" s="6"/>
    </row>
    <row r="24" spans="1:10" ht="10.5" customHeight="1" x14ac:dyDescent="0.25">
      <c r="A24" s="38">
        <v>17</v>
      </c>
      <c r="B24" s="5" t="s">
        <v>154</v>
      </c>
      <c r="C24" s="6"/>
      <c r="D24" s="6"/>
      <c r="E24" s="6">
        <f t="shared" si="0"/>
        <v>599</v>
      </c>
      <c r="F24" s="6"/>
      <c r="G24" s="6"/>
      <c r="H24" s="6">
        <f>600-1</f>
        <v>599</v>
      </c>
      <c r="I24" s="6"/>
      <c r="J24" s="6"/>
    </row>
    <row r="25" spans="1:10" ht="10.5" customHeight="1" x14ac:dyDescent="0.25">
      <c r="A25" s="38">
        <v>18</v>
      </c>
      <c r="B25" s="5" t="s">
        <v>24</v>
      </c>
      <c r="C25" s="6">
        <v>8478</v>
      </c>
      <c r="D25" s="6"/>
      <c r="E25" s="6">
        <f t="shared" si="0"/>
        <v>29987</v>
      </c>
      <c r="F25" s="6">
        <f>7494+12</f>
        <v>7506</v>
      </c>
      <c r="G25" s="6">
        <v>22481</v>
      </c>
      <c r="H25" s="6"/>
      <c r="I25" s="6"/>
      <c r="J25" s="6"/>
    </row>
    <row r="26" spans="1:10" ht="10.5" customHeight="1" x14ac:dyDescent="0.25">
      <c r="A26" s="38">
        <v>19</v>
      </c>
      <c r="B26" s="5" t="s">
        <v>25</v>
      </c>
      <c r="C26" s="6">
        <v>31182</v>
      </c>
      <c r="D26" s="6"/>
      <c r="E26" s="6">
        <f t="shared" si="0"/>
        <v>99380</v>
      </c>
      <c r="F26" s="6">
        <f>22463+33</f>
        <v>22496</v>
      </c>
      <c r="G26" s="6">
        <v>72675</v>
      </c>
      <c r="H26" s="6"/>
      <c r="I26" s="6">
        <f>4198+11</f>
        <v>4209</v>
      </c>
      <c r="J26" s="6"/>
    </row>
    <row r="27" spans="1:10" ht="23.25" customHeight="1" x14ac:dyDescent="0.25">
      <c r="A27" s="38">
        <v>20</v>
      </c>
      <c r="B27" s="7" t="s">
        <v>155</v>
      </c>
      <c r="C27" s="6">
        <v>1100</v>
      </c>
      <c r="D27" s="6"/>
      <c r="E27" s="6">
        <f t="shared" si="0"/>
        <v>16420</v>
      </c>
      <c r="F27" s="6">
        <v>0</v>
      </c>
      <c r="G27" s="6">
        <v>0</v>
      </c>
      <c r="H27" s="6">
        <f>16500-76-4</f>
        <v>16420</v>
      </c>
      <c r="I27" s="6"/>
      <c r="J27" s="6"/>
    </row>
    <row r="28" spans="1:10" ht="10.5" customHeight="1" x14ac:dyDescent="0.25">
      <c r="A28" s="38">
        <v>21</v>
      </c>
      <c r="B28" s="5" t="s">
        <v>26</v>
      </c>
      <c r="C28" s="6">
        <v>32329</v>
      </c>
      <c r="D28" s="6"/>
      <c r="E28" s="6">
        <f t="shared" si="0"/>
        <v>106586</v>
      </c>
      <c r="F28" s="6">
        <f>24192+11</f>
        <v>24203</v>
      </c>
      <c r="G28" s="6">
        <v>82383</v>
      </c>
      <c r="H28" s="6"/>
      <c r="I28" s="6"/>
      <c r="J28" s="6"/>
    </row>
    <row r="29" spans="1:10" ht="10.5" customHeight="1" x14ac:dyDescent="0.25">
      <c r="A29" s="38">
        <v>22</v>
      </c>
      <c r="B29" s="5" t="s">
        <v>156</v>
      </c>
      <c r="C29" s="6">
        <v>1800</v>
      </c>
      <c r="D29" s="6"/>
      <c r="E29" s="6">
        <f t="shared" si="0"/>
        <v>10030</v>
      </c>
      <c r="F29" s="6">
        <v>0</v>
      </c>
      <c r="G29" s="6">
        <v>0</v>
      </c>
      <c r="H29" s="6">
        <f>10000+30</f>
        <v>10030</v>
      </c>
      <c r="I29" s="6"/>
      <c r="J29" s="6"/>
    </row>
    <row r="30" spans="1:10" ht="10.5" customHeight="1" x14ac:dyDescent="0.25">
      <c r="A30" s="38">
        <v>23</v>
      </c>
      <c r="B30" s="5" t="s">
        <v>27</v>
      </c>
      <c r="C30" s="6">
        <f>75838+548</f>
        <v>76386</v>
      </c>
      <c r="D30" s="6"/>
      <c r="E30" s="6">
        <f t="shared" si="0"/>
        <v>261108</v>
      </c>
      <c r="F30" s="6">
        <f>61414+179</f>
        <v>61593</v>
      </c>
      <c r="G30" s="6">
        <v>192730</v>
      </c>
      <c r="H30" s="6"/>
      <c r="I30" s="6">
        <f>6764+21</f>
        <v>6785</v>
      </c>
      <c r="J30" s="6"/>
    </row>
    <row r="31" spans="1:10" s="10" customFormat="1" ht="48" customHeight="1" x14ac:dyDescent="0.2">
      <c r="A31" s="38">
        <v>24</v>
      </c>
      <c r="B31" s="8" t="s">
        <v>206</v>
      </c>
      <c r="C31" s="9">
        <v>9839</v>
      </c>
      <c r="D31" s="9"/>
      <c r="E31" s="9">
        <f t="shared" si="0"/>
        <v>33835</v>
      </c>
      <c r="F31" s="9">
        <f>9255-190+33</f>
        <v>9098</v>
      </c>
      <c r="G31" s="9">
        <v>24737</v>
      </c>
      <c r="H31" s="9"/>
      <c r="I31" s="9"/>
      <c r="J31" s="9"/>
    </row>
    <row r="32" spans="1:10" ht="10.5" customHeight="1" x14ac:dyDescent="0.25">
      <c r="A32" s="38">
        <v>25</v>
      </c>
      <c r="B32" s="5" t="s">
        <v>29</v>
      </c>
      <c r="C32" s="6">
        <v>25819</v>
      </c>
      <c r="D32" s="6"/>
      <c r="E32" s="6">
        <f t="shared" si="0"/>
        <v>89746</v>
      </c>
      <c r="F32" s="6">
        <f>27553+393+94</f>
        <v>28040</v>
      </c>
      <c r="G32" s="6">
        <v>61706</v>
      </c>
      <c r="H32" s="6"/>
      <c r="I32" s="6"/>
      <c r="J32" s="6"/>
    </row>
    <row r="33" spans="1:10" ht="10.5" customHeight="1" x14ac:dyDescent="0.25">
      <c r="A33" s="38">
        <v>26</v>
      </c>
      <c r="B33" s="5" t="s">
        <v>30</v>
      </c>
      <c r="C33" s="6">
        <f>12066-41</f>
        <v>12025</v>
      </c>
      <c r="D33" s="6"/>
      <c r="E33" s="6">
        <f t="shared" si="0"/>
        <v>42108</v>
      </c>
      <c r="F33" s="6">
        <f>9122+730-198-144</f>
        <v>9510</v>
      </c>
      <c r="G33" s="6">
        <v>32598</v>
      </c>
      <c r="H33" s="6"/>
      <c r="I33" s="6"/>
      <c r="J33" s="6"/>
    </row>
    <row r="34" spans="1:10" ht="10.5" customHeight="1" x14ac:dyDescent="0.25">
      <c r="A34" s="38">
        <v>27</v>
      </c>
      <c r="B34" s="5" t="s">
        <v>31</v>
      </c>
      <c r="C34" s="6">
        <v>11669</v>
      </c>
      <c r="D34" s="6"/>
      <c r="E34" s="6">
        <f t="shared" si="0"/>
        <v>40243</v>
      </c>
      <c r="F34" s="6">
        <f>8112+177-68</f>
        <v>8221</v>
      </c>
      <c r="G34" s="6">
        <v>32022</v>
      </c>
      <c r="H34" s="6"/>
      <c r="I34" s="6"/>
      <c r="J34" s="6"/>
    </row>
    <row r="35" spans="1:10" ht="10.5" customHeight="1" x14ac:dyDescent="0.25">
      <c r="A35" s="38">
        <v>28</v>
      </c>
      <c r="B35" s="5" t="s">
        <v>32</v>
      </c>
      <c r="C35" s="6">
        <v>13368</v>
      </c>
      <c r="D35" s="6"/>
      <c r="E35" s="6">
        <f t="shared" si="0"/>
        <v>46225</v>
      </c>
      <c r="F35" s="6">
        <f>9880+34</f>
        <v>9914</v>
      </c>
      <c r="G35" s="6">
        <v>36311</v>
      </c>
      <c r="H35" s="6"/>
      <c r="I35" s="6"/>
      <c r="J35" s="6"/>
    </row>
    <row r="36" spans="1:10" ht="10.5" customHeight="1" x14ac:dyDescent="0.25">
      <c r="A36" s="38">
        <v>29</v>
      </c>
      <c r="B36" s="5" t="s">
        <v>33</v>
      </c>
      <c r="C36" s="6">
        <f>13643-7</f>
        <v>13636</v>
      </c>
      <c r="D36" s="6"/>
      <c r="E36" s="6">
        <f t="shared" si="0"/>
        <v>47009</v>
      </c>
      <c r="F36" s="6">
        <f>10987-148-11</f>
        <v>10828</v>
      </c>
      <c r="G36" s="6">
        <v>36181</v>
      </c>
      <c r="H36" s="6"/>
      <c r="I36" s="6"/>
      <c r="J36" s="6"/>
    </row>
    <row r="37" spans="1:10" ht="10.5" customHeight="1" x14ac:dyDescent="0.25">
      <c r="A37" s="38">
        <v>30</v>
      </c>
      <c r="B37" s="5" t="s">
        <v>34</v>
      </c>
      <c r="C37" s="6">
        <v>15174</v>
      </c>
      <c r="D37" s="6"/>
      <c r="E37" s="6">
        <f t="shared" si="0"/>
        <v>52536</v>
      </c>
      <c r="F37" s="6">
        <f>17380+67</f>
        <v>17447</v>
      </c>
      <c r="G37" s="6">
        <v>35089</v>
      </c>
      <c r="H37" s="6"/>
      <c r="I37" s="6"/>
      <c r="J37" s="6"/>
    </row>
    <row r="38" spans="1:10" ht="10.5" customHeight="1" x14ac:dyDescent="0.25">
      <c r="A38" s="38">
        <v>31</v>
      </c>
      <c r="B38" s="5" t="s">
        <v>35</v>
      </c>
      <c r="C38" s="6">
        <f>14237-15</f>
        <v>14222</v>
      </c>
      <c r="D38" s="6"/>
      <c r="E38" s="6">
        <f t="shared" si="0"/>
        <v>49008</v>
      </c>
      <c r="F38" s="6">
        <f>7268-223+17</f>
        <v>7062</v>
      </c>
      <c r="G38" s="6">
        <v>41946</v>
      </c>
      <c r="H38" s="6"/>
      <c r="I38" s="6"/>
      <c r="J38" s="6"/>
    </row>
    <row r="39" spans="1:10" ht="10.5" customHeight="1" x14ac:dyDescent="0.25">
      <c r="A39" s="38">
        <v>32</v>
      </c>
      <c r="B39" s="5" t="s">
        <v>36</v>
      </c>
      <c r="C39" s="6">
        <f>15237</f>
        <v>15237</v>
      </c>
      <c r="D39" s="6"/>
      <c r="E39" s="6">
        <f t="shared" si="0"/>
        <v>52867</v>
      </c>
      <c r="F39" s="6">
        <f>12401+166+26</f>
        <v>12593</v>
      </c>
      <c r="G39" s="6">
        <v>40274</v>
      </c>
      <c r="H39" s="6"/>
      <c r="I39" s="6"/>
      <c r="J39" s="6"/>
    </row>
    <row r="40" spans="1:10" ht="10.5" customHeight="1" x14ac:dyDescent="0.25">
      <c r="A40" s="38">
        <v>33</v>
      </c>
      <c r="B40" s="5" t="s">
        <v>37</v>
      </c>
      <c r="C40" s="6">
        <v>14142</v>
      </c>
      <c r="D40" s="6"/>
      <c r="E40" s="6">
        <f t="shared" si="0"/>
        <v>48727</v>
      </c>
      <c r="F40" s="6">
        <f>10350-156-27</f>
        <v>10167</v>
      </c>
      <c r="G40" s="6">
        <v>38560</v>
      </c>
      <c r="H40" s="6"/>
      <c r="I40" s="6"/>
      <c r="J40" s="6"/>
    </row>
    <row r="41" spans="1:10" ht="10.5" customHeight="1" x14ac:dyDescent="0.25">
      <c r="A41" s="38">
        <v>34</v>
      </c>
      <c r="B41" s="5" t="s">
        <v>157</v>
      </c>
      <c r="C41" s="6">
        <f>200-3</f>
        <v>197</v>
      </c>
      <c r="D41" s="6"/>
      <c r="E41" s="6">
        <f t="shared" si="0"/>
        <v>1147</v>
      </c>
      <c r="F41" s="6"/>
      <c r="G41" s="6"/>
      <c r="H41" s="6">
        <f>1222-75</f>
        <v>1147</v>
      </c>
      <c r="I41" s="6"/>
      <c r="J41" s="6"/>
    </row>
    <row r="42" spans="1:10" ht="10.5" customHeight="1" x14ac:dyDescent="0.25">
      <c r="A42" s="38">
        <v>35</v>
      </c>
      <c r="B42" s="5" t="s">
        <v>158</v>
      </c>
      <c r="C42" s="6">
        <v>200</v>
      </c>
      <c r="D42" s="6"/>
      <c r="E42" s="6">
        <f t="shared" si="0"/>
        <v>1219</v>
      </c>
      <c r="F42" s="6"/>
      <c r="G42" s="6"/>
      <c r="H42" s="6">
        <f>1222-3</f>
        <v>1219</v>
      </c>
      <c r="I42" s="6"/>
      <c r="J42" s="6"/>
    </row>
    <row r="43" spans="1:10" ht="10.5" customHeight="1" x14ac:dyDescent="0.25">
      <c r="A43" s="38">
        <v>36</v>
      </c>
      <c r="B43" s="5" t="s">
        <v>159</v>
      </c>
      <c r="C43" s="6"/>
      <c r="D43" s="6"/>
      <c r="E43" s="6">
        <f t="shared" si="0"/>
        <v>1209</v>
      </c>
      <c r="F43" s="6"/>
      <c r="G43" s="6"/>
      <c r="H43" s="6">
        <f>1222-13</f>
        <v>1209</v>
      </c>
      <c r="I43" s="6"/>
      <c r="J43" s="6"/>
    </row>
    <row r="44" spans="1:10" ht="10.5" customHeight="1" x14ac:dyDescent="0.25">
      <c r="A44" s="38">
        <v>37</v>
      </c>
      <c r="B44" s="5" t="s">
        <v>160</v>
      </c>
      <c r="C44" s="6"/>
      <c r="D44" s="6"/>
      <c r="E44" s="6">
        <f t="shared" si="0"/>
        <v>1221</v>
      </c>
      <c r="F44" s="6"/>
      <c r="G44" s="6"/>
      <c r="H44" s="6">
        <f>1222-1</f>
        <v>1221</v>
      </c>
      <c r="I44" s="6"/>
      <c r="J44" s="6"/>
    </row>
    <row r="45" spans="1:10" ht="10.5" customHeight="1" x14ac:dyDescent="0.25">
      <c r="A45" s="38">
        <v>38</v>
      </c>
      <c r="B45" s="5" t="s">
        <v>161</v>
      </c>
      <c r="C45" s="6"/>
      <c r="D45" s="6"/>
      <c r="E45" s="6">
        <f t="shared" si="0"/>
        <v>0</v>
      </c>
      <c r="F45" s="6"/>
      <c r="G45" s="6"/>
      <c r="H45" s="6">
        <f>1500-1500</f>
        <v>0</v>
      </c>
      <c r="I45" s="6"/>
      <c r="J45" s="6"/>
    </row>
    <row r="46" spans="1:10" ht="10.5" customHeight="1" x14ac:dyDescent="0.25">
      <c r="A46" s="38">
        <v>39</v>
      </c>
      <c r="B46" s="5" t="s">
        <v>207</v>
      </c>
      <c r="C46" s="6">
        <v>200</v>
      </c>
      <c r="D46" s="6"/>
      <c r="E46" s="6">
        <f t="shared" si="0"/>
        <v>1221</v>
      </c>
      <c r="F46" s="6"/>
      <c r="G46" s="6"/>
      <c r="H46" s="6">
        <f>1222-1</f>
        <v>1221</v>
      </c>
      <c r="I46" s="6"/>
      <c r="J46" s="6"/>
    </row>
    <row r="47" spans="1:10" ht="10.5" customHeight="1" x14ac:dyDescent="0.25">
      <c r="A47" s="38">
        <v>40</v>
      </c>
      <c r="B47" s="5" t="s">
        <v>208</v>
      </c>
      <c r="C47" s="6"/>
      <c r="D47" s="6"/>
      <c r="E47" s="6">
        <f t="shared" si="0"/>
        <v>1197</v>
      </c>
      <c r="F47" s="6"/>
      <c r="G47" s="6"/>
      <c r="H47" s="6">
        <f>1200-3</f>
        <v>1197</v>
      </c>
      <c r="I47" s="6"/>
      <c r="J47" s="6"/>
    </row>
    <row r="48" spans="1:10" ht="10.5" customHeight="1" x14ac:dyDescent="0.25">
      <c r="A48" s="38">
        <v>41</v>
      </c>
      <c r="B48" s="5" t="s">
        <v>162</v>
      </c>
      <c r="C48" s="6"/>
      <c r="D48" s="6"/>
      <c r="E48" s="6">
        <f t="shared" si="0"/>
        <v>0</v>
      </c>
      <c r="F48" s="6"/>
      <c r="G48" s="6"/>
      <c r="H48" s="6">
        <f>200-200</f>
        <v>0</v>
      </c>
      <c r="I48" s="6"/>
      <c r="J48" s="6"/>
    </row>
    <row r="49" spans="1:10" ht="10.5" customHeight="1" x14ac:dyDescent="0.25">
      <c r="A49" s="38">
        <v>42</v>
      </c>
      <c r="B49" s="5" t="s">
        <v>163</v>
      </c>
      <c r="C49" s="6">
        <v>200</v>
      </c>
      <c r="D49" s="6"/>
      <c r="E49" s="6">
        <f t="shared" si="0"/>
        <v>1220</v>
      </c>
      <c r="F49" s="6"/>
      <c r="G49" s="6"/>
      <c r="H49" s="6">
        <f>1222-2</f>
        <v>1220</v>
      </c>
      <c r="I49" s="6"/>
      <c r="J49" s="6"/>
    </row>
    <row r="50" spans="1:10" ht="10.5" customHeight="1" x14ac:dyDescent="0.25">
      <c r="A50" s="38">
        <v>43</v>
      </c>
      <c r="B50" s="5" t="s">
        <v>209</v>
      </c>
      <c r="C50" s="6"/>
      <c r="D50" s="6"/>
      <c r="E50" s="6">
        <f t="shared" si="0"/>
        <v>461</v>
      </c>
      <c r="F50" s="6"/>
      <c r="G50" s="6"/>
      <c r="H50" s="6">
        <f>1050-589</f>
        <v>461</v>
      </c>
      <c r="I50" s="6"/>
      <c r="J50" s="6"/>
    </row>
    <row r="51" spans="1:10" ht="10.5" customHeight="1" x14ac:dyDescent="0.25">
      <c r="A51" s="38">
        <v>44</v>
      </c>
      <c r="B51" s="5" t="s">
        <v>164</v>
      </c>
      <c r="C51" s="6"/>
      <c r="D51" s="6"/>
      <c r="E51" s="6">
        <f t="shared" si="0"/>
        <v>1220</v>
      </c>
      <c r="F51" s="6"/>
      <c r="G51" s="6"/>
      <c r="H51" s="6">
        <f>1222-2</f>
        <v>1220</v>
      </c>
      <c r="I51" s="6"/>
      <c r="J51" s="6"/>
    </row>
    <row r="52" spans="1:10" ht="10.5" customHeight="1" x14ac:dyDescent="0.25">
      <c r="A52" s="38">
        <v>45</v>
      </c>
      <c r="B52" s="5" t="s">
        <v>1</v>
      </c>
      <c r="C52" s="6">
        <f>16319-45</f>
        <v>16274</v>
      </c>
      <c r="D52" s="6"/>
      <c r="E52" s="6">
        <f t="shared" si="0"/>
        <v>59132</v>
      </c>
      <c r="F52" s="6">
        <f>11095-34</f>
        <v>11061</v>
      </c>
      <c r="G52" s="6">
        <v>45350</v>
      </c>
      <c r="H52" s="6"/>
      <c r="I52" s="6">
        <f>2729-8</f>
        <v>2721</v>
      </c>
      <c r="J52" s="6"/>
    </row>
    <row r="53" spans="1:10" ht="10.5" customHeight="1" x14ac:dyDescent="0.25">
      <c r="A53" s="38">
        <v>46</v>
      </c>
      <c r="B53" s="5" t="s">
        <v>38</v>
      </c>
      <c r="C53" s="6">
        <v>10804</v>
      </c>
      <c r="D53" s="6"/>
      <c r="E53" s="6">
        <f t="shared" si="0"/>
        <v>37339</v>
      </c>
      <c r="F53" s="6">
        <f>9032-26</f>
        <v>9006</v>
      </c>
      <c r="G53" s="6">
        <v>28333</v>
      </c>
      <c r="H53" s="6"/>
      <c r="I53" s="6"/>
      <c r="J53" s="6"/>
    </row>
    <row r="54" spans="1:10" ht="10.5" customHeight="1" x14ac:dyDescent="0.25">
      <c r="A54" s="38">
        <v>47</v>
      </c>
      <c r="B54" s="5" t="s">
        <v>39</v>
      </c>
      <c r="C54" s="6">
        <v>12955</v>
      </c>
      <c r="D54" s="6"/>
      <c r="E54" s="6">
        <f t="shared" si="0"/>
        <v>44633</v>
      </c>
      <c r="F54" s="6">
        <f>10621-96-71</f>
        <v>10454</v>
      </c>
      <c r="G54" s="6">
        <v>34179</v>
      </c>
      <c r="H54" s="6"/>
      <c r="I54" s="6"/>
      <c r="J54" s="6"/>
    </row>
    <row r="55" spans="1:10" ht="10.5" customHeight="1" x14ac:dyDescent="0.25">
      <c r="A55" s="38">
        <v>48</v>
      </c>
      <c r="B55" s="5" t="s">
        <v>40</v>
      </c>
      <c r="C55" s="6">
        <v>10177</v>
      </c>
      <c r="D55" s="6"/>
      <c r="E55" s="6">
        <f t="shared" si="0"/>
        <v>34836</v>
      </c>
      <c r="F55" s="6">
        <f>9400-133-30</f>
        <v>9237</v>
      </c>
      <c r="G55" s="6">
        <v>25599</v>
      </c>
      <c r="H55" s="6"/>
      <c r="I55" s="6"/>
      <c r="J55" s="6"/>
    </row>
    <row r="56" spans="1:10" ht="10.5" customHeight="1" x14ac:dyDescent="0.25">
      <c r="A56" s="38">
        <v>49</v>
      </c>
      <c r="B56" s="5" t="s">
        <v>41</v>
      </c>
      <c r="C56" s="6">
        <v>15035</v>
      </c>
      <c r="D56" s="6"/>
      <c r="E56" s="6">
        <f t="shared" si="0"/>
        <v>51822</v>
      </c>
      <c r="F56" s="6">
        <f>14777-102-75</f>
        <v>14600</v>
      </c>
      <c r="G56" s="6">
        <v>37222</v>
      </c>
      <c r="H56" s="6"/>
      <c r="I56" s="6"/>
      <c r="J56" s="6"/>
    </row>
    <row r="57" spans="1:10" ht="24" customHeight="1" x14ac:dyDescent="0.25">
      <c r="A57" s="38">
        <v>50</v>
      </c>
      <c r="B57" s="7" t="s">
        <v>165</v>
      </c>
      <c r="C57" s="6"/>
      <c r="D57" s="6"/>
      <c r="E57" s="6">
        <f t="shared" si="0"/>
        <v>199</v>
      </c>
      <c r="F57" s="6"/>
      <c r="G57" s="6"/>
      <c r="H57" s="6">
        <f>200-1</f>
        <v>199</v>
      </c>
      <c r="I57" s="6"/>
      <c r="J57" s="6"/>
    </row>
    <row r="58" spans="1:10" ht="10.5" customHeight="1" x14ac:dyDescent="0.25">
      <c r="A58" s="38">
        <v>51</v>
      </c>
      <c r="B58" s="5" t="s">
        <v>42</v>
      </c>
      <c r="C58" s="6">
        <v>31448</v>
      </c>
      <c r="D58" s="6"/>
      <c r="E58" s="6">
        <f t="shared" si="0"/>
        <v>99626</v>
      </c>
      <c r="F58" s="6">
        <f>21301+17</f>
        <v>21318</v>
      </c>
      <c r="G58" s="6">
        <v>74690</v>
      </c>
      <c r="H58" s="6"/>
      <c r="I58" s="6">
        <f>3833-30-185</f>
        <v>3618</v>
      </c>
      <c r="J58" s="6"/>
    </row>
    <row r="59" spans="1:10" ht="27" customHeight="1" x14ac:dyDescent="0.25">
      <c r="A59" s="38">
        <v>52</v>
      </c>
      <c r="B59" s="7" t="s">
        <v>166</v>
      </c>
      <c r="C59" s="6">
        <v>1800</v>
      </c>
      <c r="D59" s="6"/>
      <c r="E59" s="6">
        <f t="shared" si="0"/>
        <v>19065</v>
      </c>
      <c r="F59" s="6">
        <v>0</v>
      </c>
      <c r="G59" s="6">
        <v>0</v>
      </c>
      <c r="H59" s="6">
        <f>19000+65</f>
        <v>19065</v>
      </c>
      <c r="I59" s="6"/>
      <c r="J59" s="6"/>
    </row>
    <row r="60" spans="1:10" ht="10.5" customHeight="1" x14ac:dyDescent="0.25">
      <c r="A60" s="38">
        <v>53</v>
      </c>
      <c r="B60" s="5" t="s">
        <v>43</v>
      </c>
      <c r="C60" s="6">
        <v>33203</v>
      </c>
      <c r="D60" s="6"/>
      <c r="E60" s="6">
        <f t="shared" si="0"/>
        <v>109294</v>
      </c>
      <c r="F60" s="6">
        <f>23049-88</f>
        <v>22961</v>
      </c>
      <c r="G60" s="6">
        <v>86333</v>
      </c>
      <c r="H60" s="6"/>
      <c r="I60" s="6"/>
      <c r="J60" s="6"/>
    </row>
    <row r="61" spans="1:10" ht="10.5" customHeight="1" x14ac:dyDescent="0.25">
      <c r="A61" s="38">
        <v>54</v>
      </c>
      <c r="B61" s="5" t="s">
        <v>44</v>
      </c>
      <c r="C61" s="6">
        <v>17881</v>
      </c>
      <c r="D61" s="6"/>
      <c r="E61" s="6">
        <f t="shared" si="0"/>
        <v>62896</v>
      </c>
      <c r="F61" s="6">
        <f>12175+1000+36</f>
        <v>13211</v>
      </c>
      <c r="G61" s="6">
        <v>49685</v>
      </c>
      <c r="H61" s="6"/>
      <c r="I61" s="6"/>
      <c r="J61" s="6"/>
    </row>
    <row r="62" spans="1:10" ht="10.5" customHeight="1" x14ac:dyDescent="0.25">
      <c r="A62" s="38">
        <v>55</v>
      </c>
      <c r="B62" s="5" t="s">
        <v>45</v>
      </c>
      <c r="C62" s="6">
        <f>8775-12</f>
        <v>8763</v>
      </c>
      <c r="D62" s="6"/>
      <c r="E62" s="6">
        <f t="shared" si="0"/>
        <v>30342</v>
      </c>
      <c r="F62" s="6">
        <f>5542-1</f>
        <v>5541</v>
      </c>
      <c r="G62" s="6">
        <v>24801</v>
      </c>
      <c r="H62" s="6"/>
      <c r="I62" s="6"/>
      <c r="J62" s="6"/>
    </row>
    <row r="63" spans="1:10" ht="10.5" customHeight="1" x14ac:dyDescent="0.25">
      <c r="A63" s="38">
        <v>56</v>
      </c>
      <c r="B63" s="5" t="s">
        <v>167</v>
      </c>
      <c r="C63" s="6"/>
      <c r="D63" s="6"/>
      <c r="E63" s="6">
        <f t="shared" si="0"/>
        <v>1502</v>
      </c>
      <c r="F63" s="6"/>
      <c r="G63" s="6">
        <v>0</v>
      </c>
      <c r="H63" s="6">
        <f>1500+2</f>
        <v>1502</v>
      </c>
      <c r="I63" s="6"/>
      <c r="J63" s="6"/>
    </row>
    <row r="64" spans="1:10" ht="10.5" customHeight="1" x14ac:dyDescent="0.25">
      <c r="A64" s="38">
        <v>57</v>
      </c>
      <c r="B64" s="5" t="s">
        <v>168</v>
      </c>
      <c r="C64" s="6"/>
      <c r="D64" s="6"/>
      <c r="E64" s="6">
        <f t="shared" si="0"/>
        <v>3844</v>
      </c>
      <c r="F64" s="6"/>
      <c r="G64" s="6"/>
      <c r="H64" s="6">
        <f>4000-156</f>
        <v>3844</v>
      </c>
      <c r="I64" s="6"/>
      <c r="J64" s="6"/>
    </row>
    <row r="65" spans="1:10" ht="10.5" customHeight="1" x14ac:dyDescent="0.25">
      <c r="A65" s="38">
        <v>58</v>
      </c>
      <c r="B65" s="5" t="s">
        <v>46</v>
      </c>
      <c r="C65" s="6">
        <f>31822+50</f>
        <v>31872</v>
      </c>
      <c r="D65" s="6">
        <f>6308+50</f>
        <v>6358</v>
      </c>
      <c r="E65" s="6">
        <f t="shared" si="0"/>
        <v>86473</v>
      </c>
      <c r="F65" s="6">
        <f>14225+326+43</f>
        <v>14594</v>
      </c>
      <c r="G65" s="6">
        <v>64696</v>
      </c>
      <c r="H65" s="6"/>
      <c r="I65" s="6">
        <f>10193-1020-2000+10</f>
        <v>7183</v>
      </c>
      <c r="J65" s="6"/>
    </row>
    <row r="66" spans="1:10" ht="22.5" customHeight="1" x14ac:dyDescent="0.25">
      <c r="A66" s="38">
        <v>59</v>
      </c>
      <c r="B66" s="7" t="s">
        <v>210</v>
      </c>
      <c r="C66" s="6">
        <v>28451</v>
      </c>
      <c r="D66" s="6"/>
      <c r="E66" s="6">
        <f t="shared" si="0"/>
        <v>88719</v>
      </c>
      <c r="F66" s="6">
        <f>29685+102</f>
        <v>29787</v>
      </c>
      <c r="G66" s="6">
        <v>58932</v>
      </c>
      <c r="H66" s="6"/>
      <c r="I66" s="6"/>
      <c r="J66" s="6"/>
    </row>
    <row r="67" spans="1:10" ht="10.5" customHeight="1" x14ac:dyDescent="0.25">
      <c r="A67" s="38">
        <v>60</v>
      </c>
      <c r="B67" s="7" t="s">
        <v>47</v>
      </c>
      <c r="C67" s="6">
        <f>33231-930</f>
        <v>32301</v>
      </c>
      <c r="D67" s="6"/>
      <c r="E67" s="6">
        <f t="shared" si="0"/>
        <v>94748</v>
      </c>
      <c r="F67" s="6">
        <f>31745+78</f>
        <v>31823</v>
      </c>
      <c r="G67" s="6">
        <v>62925</v>
      </c>
      <c r="H67" s="6"/>
      <c r="I67" s="6">
        <f>700-32-668</f>
        <v>0</v>
      </c>
      <c r="J67" s="6"/>
    </row>
    <row r="68" spans="1:10" ht="22.5" customHeight="1" x14ac:dyDescent="0.25">
      <c r="A68" s="38">
        <v>61</v>
      </c>
      <c r="B68" s="7" t="s">
        <v>211</v>
      </c>
      <c r="C68" s="6">
        <v>15178</v>
      </c>
      <c r="D68" s="6"/>
      <c r="E68" s="6">
        <f t="shared" si="0"/>
        <v>52993</v>
      </c>
      <c r="F68" s="6">
        <f>9650+37</f>
        <v>9687</v>
      </c>
      <c r="G68" s="6">
        <v>43306</v>
      </c>
      <c r="H68" s="6"/>
      <c r="I68" s="6"/>
      <c r="J68" s="6"/>
    </row>
    <row r="69" spans="1:10" s="10" customFormat="1" ht="48.75" customHeight="1" x14ac:dyDescent="0.2">
      <c r="A69" s="38">
        <v>62</v>
      </c>
      <c r="B69" s="11" t="s">
        <v>212</v>
      </c>
      <c r="C69" s="9">
        <v>21536</v>
      </c>
      <c r="D69" s="9"/>
      <c r="E69" s="12">
        <f t="shared" si="0"/>
        <v>77891</v>
      </c>
      <c r="F69" s="9">
        <f>16356+52</f>
        <v>16408</v>
      </c>
      <c r="G69" s="9">
        <v>61483</v>
      </c>
      <c r="H69" s="9"/>
      <c r="I69" s="9"/>
      <c r="J69" s="9"/>
    </row>
    <row r="70" spans="1:10" ht="10.5" customHeight="1" x14ac:dyDescent="0.25">
      <c r="A70" s="38">
        <v>63</v>
      </c>
      <c r="B70" s="5" t="s">
        <v>48</v>
      </c>
      <c r="C70" s="6">
        <v>22086</v>
      </c>
      <c r="D70" s="6"/>
      <c r="E70" s="6">
        <f t="shared" si="0"/>
        <v>87885</v>
      </c>
      <c r="F70" s="6">
        <f>16400+388+53</f>
        <v>16841</v>
      </c>
      <c r="G70" s="6">
        <v>71044</v>
      </c>
      <c r="H70" s="6"/>
      <c r="I70" s="6"/>
      <c r="J70" s="6"/>
    </row>
    <row r="71" spans="1:10" ht="10.5" customHeight="1" x14ac:dyDescent="0.25">
      <c r="A71" s="38">
        <v>64</v>
      </c>
      <c r="B71" s="5" t="s">
        <v>49</v>
      </c>
      <c r="C71" s="6"/>
      <c r="D71" s="6"/>
      <c r="E71" s="6">
        <f t="shared" si="0"/>
        <v>11859</v>
      </c>
      <c r="F71" s="6"/>
      <c r="G71" s="6"/>
      <c r="H71" s="6">
        <f>11810+49</f>
        <v>11859</v>
      </c>
      <c r="I71" s="6"/>
      <c r="J71" s="6"/>
    </row>
    <row r="72" spans="1:10" ht="10.5" customHeight="1" x14ac:dyDescent="0.25">
      <c r="A72" s="38">
        <v>65</v>
      </c>
      <c r="B72" s="5" t="s">
        <v>172</v>
      </c>
      <c r="C72" s="6">
        <v>11000</v>
      </c>
      <c r="D72" s="6"/>
      <c r="E72" s="6">
        <f t="shared" si="0"/>
        <v>71121</v>
      </c>
      <c r="F72" s="6"/>
      <c r="G72" s="6"/>
      <c r="H72" s="6">
        <f>71000+121</f>
        <v>71121</v>
      </c>
      <c r="I72" s="6"/>
      <c r="J72" s="6"/>
    </row>
    <row r="73" spans="1:10" ht="23.25" customHeight="1" x14ac:dyDescent="0.25">
      <c r="A73" s="38">
        <v>66</v>
      </c>
      <c r="B73" s="7" t="s">
        <v>102</v>
      </c>
      <c r="C73" s="6">
        <f>3339-1</f>
        <v>3338</v>
      </c>
      <c r="D73" s="6"/>
      <c r="E73" s="6">
        <f t="shared" si="0"/>
        <v>10316</v>
      </c>
      <c r="F73" s="6">
        <v>4846</v>
      </c>
      <c r="G73" s="6">
        <v>5470</v>
      </c>
      <c r="H73" s="6"/>
      <c r="I73" s="6"/>
      <c r="J73" s="6"/>
    </row>
    <row r="74" spans="1:10" ht="10.5" customHeight="1" x14ac:dyDescent="0.25">
      <c r="A74" s="38">
        <v>67</v>
      </c>
      <c r="B74" s="5" t="s">
        <v>50</v>
      </c>
      <c r="C74" s="6">
        <v>49115</v>
      </c>
      <c r="D74" s="6"/>
      <c r="E74" s="6">
        <f t="shared" si="0"/>
        <v>169469</v>
      </c>
      <c r="F74" s="6">
        <f>40920-184-135</f>
        <v>40601</v>
      </c>
      <c r="G74" s="6">
        <v>128868</v>
      </c>
      <c r="H74" s="6"/>
      <c r="I74" s="6"/>
      <c r="J74" s="6"/>
    </row>
    <row r="75" spans="1:10" ht="10.5" customHeight="1" x14ac:dyDescent="0.25">
      <c r="A75" s="38">
        <v>68</v>
      </c>
      <c r="B75" s="5" t="s">
        <v>51</v>
      </c>
      <c r="C75" s="6">
        <v>36220</v>
      </c>
      <c r="D75" s="6"/>
      <c r="E75" s="6">
        <f t="shared" si="0"/>
        <v>131048</v>
      </c>
      <c r="F75" s="6">
        <f>41227+114</f>
        <v>41341</v>
      </c>
      <c r="G75" s="6">
        <v>83950</v>
      </c>
      <c r="H75" s="6"/>
      <c r="I75" s="6">
        <f>6046-30-259</f>
        <v>5757</v>
      </c>
      <c r="J75" s="6"/>
    </row>
    <row r="76" spans="1:10" s="10" customFormat="1" ht="48" customHeight="1" x14ac:dyDescent="0.2">
      <c r="A76" s="38">
        <v>69</v>
      </c>
      <c r="B76" s="11" t="s">
        <v>103</v>
      </c>
      <c r="C76" s="9">
        <f>13317-28</f>
        <v>13289</v>
      </c>
      <c r="D76" s="9"/>
      <c r="E76" s="9">
        <f t="shared" si="0"/>
        <v>45815</v>
      </c>
      <c r="F76" s="9">
        <f>15237-216-11</f>
        <v>15010</v>
      </c>
      <c r="G76" s="9">
        <v>30805</v>
      </c>
      <c r="H76" s="9"/>
      <c r="I76" s="9"/>
      <c r="J76" s="9"/>
    </row>
    <row r="77" spans="1:10" ht="10.5" customHeight="1" x14ac:dyDescent="0.25">
      <c r="A77" s="38">
        <v>70</v>
      </c>
      <c r="B77" s="5" t="s">
        <v>53</v>
      </c>
      <c r="C77" s="6">
        <f>46855-1117</f>
        <v>45738</v>
      </c>
      <c r="D77" s="6"/>
      <c r="E77" s="6">
        <f t="shared" si="0"/>
        <v>161165</v>
      </c>
      <c r="F77" s="6">
        <f>33897-476-347</f>
        <v>33074</v>
      </c>
      <c r="G77" s="6">
        <v>128091</v>
      </c>
      <c r="H77" s="6"/>
      <c r="I77" s="6"/>
      <c r="J77" s="6"/>
    </row>
    <row r="78" spans="1:10" ht="10.5" customHeight="1" x14ac:dyDescent="0.25">
      <c r="A78" s="38">
        <v>71</v>
      </c>
      <c r="B78" s="5" t="s">
        <v>54</v>
      </c>
      <c r="C78" s="6">
        <f>48621-878-258</f>
        <v>47485</v>
      </c>
      <c r="D78" s="6"/>
      <c r="E78" s="6">
        <f t="shared" si="0"/>
        <v>142198</v>
      </c>
      <c r="F78" s="6">
        <f>32478-14250-269-197</f>
        <v>17762</v>
      </c>
      <c r="G78" s="6">
        <v>120989</v>
      </c>
      <c r="H78" s="6">
        <v>0</v>
      </c>
      <c r="I78" s="6">
        <f>3460-13</f>
        <v>3447</v>
      </c>
      <c r="J78" s="6"/>
    </row>
    <row r="79" spans="1:10" s="13" customFormat="1" ht="45.75" customHeight="1" x14ac:dyDescent="0.25">
      <c r="A79" s="38">
        <v>72</v>
      </c>
      <c r="B79" s="11" t="s">
        <v>55</v>
      </c>
      <c r="C79" s="9">
        <v>15702</v>
      </c>
      <c r="D79" s="9"/>
      <c r="E79" s="9">
        <f t="shared" si="0"/>
        <v>51190</v>
      </c>
      <c r="F79" s="9">
        <f>4938+8</f>
        <v>4946</v>
      </c>
      <c r="G79" s="9">
        <v>46244</v>
      </c>
      <c r="H79" s="9"/>
      <c r="I79" s="9"/>
      <c r="J79" s="9"/>
    </row>
    <row r="80" spans="1:10" s="13" customFormat="1" ht="15" customHeight="1" x14ac:dyDescent="0.25">
      <c r="A80" s="38">
        <v>73</v>
      </c>
      <c r="B80" s="5" t="s">
        <v>56</v>
      </c>
      <c r="C80" s="9">
        <f>878-242-37</f>
        <v>599</v>
      </c>
      <c r="D80" s="9"/>
      <c r="E80" s="9">
        <f t="shared" si="0"/>
        <v>11644</v>
      </c>
      <c r="F80" s="9">
        <f>14250-2056-318-232</f>
        <v>11644</v>
      </c>
      <c r="G80" s="9"/>
      <c r="H80" s="9"/>
      <c r="I80" s="9"/>
      <c r="J80" s="9"/>
    </row>
    <row r="81" spans="1:16" ht="22.5" customHeight="1" x14ac:dyDescent="0.25">
      <c r="A81" s="38">
        <v>74</v>
      </c>
      <c r="B81" s="7" t="s">
        <v>174</v>
      </c>
      <c r="C81" s="6">
        <v>5710</v>
      </c>
      <c r="D81" s="6"/>
      <c r="E81" s="9">
        <f t="shared" si="0"/>
        <v>30020</v>
      </c>
      <c r="F81" s="6"/>
      <c r="G81" s="6"/>
      <c r="H81" s="6">
        <f>30000+20</f>
        <v>30020</v>
      </c>
      <c r="I81" s="6"/>
      <c r="J81" s="6"/>
      <c r="K81" s="13"/>
      <c r="L81" s="13"/>
      <c r="M81" s="13"/>
      <c r="N81" s="13"/>
      <c r="O81" s="13"/>
      <c r="P81" s="13"/>
    </row>
    <row r="82" spans="1:16" ht="10.5" customHeight="1" x14ac:dyDescent="0.25">
      <c r="A82" s="38">
        <v>75</v>
      </c>
      <c r="B82" s="5" t="s">
        <v>57</v>
      </c>
      <c r="C82" s="6"/>
      <c r="D82" s="6"/>
      <c r="E82" s="6">
        <f t="shared" ref="E82:E149" si="1">F82+G82+H82+I82+J82</f>
        <v>9531</v>
      </c>
      <c r="F82" s="6"/>
      <c r="G82" s="6"/>
      <c r="H82" s="6">
        <f>9500+31</f>
        <v>9531</v>
      </c>
      <c r="I82" s="6"/>
      <c r="J82" s="6"/>
    </row>
    <row r="83" spans="1:16" ht="10.5" customHeight="1" x14ac:dyDescent="0.25">
      <c r="A83" s="38">
        <v>76</v>
      </c>
      <c r="B83" s="5" t="s">
        <v>58</v>
      </c>
      <c r="C83" s="6">
        <v>16040</v>
      </c>
      <c r="D83" s="6"/>
      <c r="E83" s="6">
        <f t="shared" si="1"/>
        <v>55494</v>
      </c>
      <c r="F83" s="6">
        <f>13753+15</f>
        <v>13768</v>
      </c>
      <c r="G83" s="6">
        <v>41726</v>
      </c>
      <c r="H83" s="6"/>
      <c r="I83" s="6"/>
      <c r="J83" s="6"/>
    </row>
    <row r="84" spans="1:16" ht="10.5" customHeight="1" x14ac:dyDescent="0.25">
      <c r="A84" s="38">
        <v>77</v>
      </c>
      <c r="B84" s="5" t="s">
        <v>59</v>
      </c>
      <c r="C84" s="6">
        <v>19608</v>
      </c>
      <c r="D84" s="6"/>
      <c r="E84" s="6">
        <f t="shared" si="1"/>
        <v>67899</v>
      </c>
      <c r="F84" s="6">
        <f>24503+84</f>
        <v>24587</v>
      </c>
      <c r="G84" s="6">
        <v>43312</v>
      </c>
      <c r="H84" s="6"/>
      <c r="I84" s="6"/>
      <c r="J84" s="6"/>
    </row>
    <row r="85" spans="1:16" ht="10.5" customHeight="1" x14ac:dyDescent="0.25">
      <c r="A85" s="38">
        <v>78</v>
      </c>
      <c r="B85" s="5" t="s">
        <v>60</v>
      </c>
      <c r="C85" s="6">
        <f>17907-28</f>
        <v>17879</v>
      </c>
      <c r="D85" s="6"/>
      <c r="E85" s="6">
        <f t="shared" si="1"/>
        <v>61915</v>
      </c>
      <c r="F85" s="6">
        <f>14375-13</f>
        <v>14362</v>
      </c>
      <c r="G85" s="6">
        <v>47553</v>
      </c>
      <c r="H85" s="6"/>
      <c r="I85" s="6"/>
      <c r="J85" s="6"/>
    </row>
    <row r="86" spans="1:16" ht="10.5" customHeight="1" x14ac:dyDescent="0.25">
      <c r="A86" s="38">
        <v>79</v>
      </c>
      <c r="B86" s="5" t="s">
        <v>61</v>
      </c>
      <c r="C86" s="6">
        <v>11485</v>
      </c>
      <c r="D86" s="6"/>
      <c r="E86" s="6">
        <f t="shared" si="1"/>
        <v>39528</v>
      </c>
      <c r="F86" s="6">
        <f>9017-87-82</f>
        <v>8848</v>
      </c>
      <c r="G86" s="6">
        <v>30680</v>
      </c>
      <c r="H86" s="6"/>
      <c r="I86" s="6"/>
      <c r="J86" s="6"/>
    </row>
    <row r="87" spans="1:16" ht="10.5" customHeight="1" x14ac:dyDescent="0.25">
      <c r="A87" s="38">
        <v>80</v>
      </c>
      <c r="B87" s="5" t="s">
        <v>62</v>
      </c>
      <c r="C87" s="6">
        <v>19941</v>
      </c>
      <c r="D87" s="6"/>
      <c r="E87" s="6">
        <f t="shared" si="1"/>
        <v>68981</v>
      </c>
      <c r="F87" s="6">
        <f>17880+55</f>
        <v>17935</v>
      </c>
      <c r="G87" s="6">
        <v>51046</v>
      </c>
      <c r="H87" s="6"/>
      <c r="I87" s="6"/>
      <c r="J87" s="6"/>
    </row>
    <row r="88" spans="1:16" ht="10.5" customHeight="1" x14ac:dyDescent="0.25">
      <c r="A88" s="38">
        <v>81</v>
      </c>
      <c r="B88" s="5" t="s">
        <v>63</v>
      </c>
      <c r="C88" s="6">
        <f>9540-9</f>
        <v>9531</v>
      </c>
      <c r="D88" s="6"/>
      <c r="E88" s="6">
        <f t="shared" si="1"/>
        <v>32775</v>
      </c>
      <c r="F88" s="6">
        <f>7154-192-2</f>
        <v>6960</v>
      </c>
      <c r="G88" s="6">
        <v>25815</v>
      </c>
      <c r="H88" s="6"/>
      <c r="I88" s="6"/>
      <c r="J88" s="6"/>
    </row>
    <row r="89" spans="1:16" ht="10.5" customHeight="1" x14ac:dyDescent="0.25">
      <c r="A89" s="38">
        <v>82</v>
      </c>
      <c r="B89" s="5" t="s">
        <v>213</v>
      </c>
      <c r="C89" s="6"/>
      <c r="D89" s="6"/>
      <c r="E89" s="6">
        <f t="shared" si="1"/>
        <v>2498</v>
      </c>
      <c r="F89" s="6"/>
      <c r="G89" s="6"/>
      <c r="H89" s="6">
        <f>2500-2</f>
        <v>2498</v>
      </c>
      <c r="I89" s="6"/>
      <c r="J89" s="6"/>
    </row>
    <row r="90" spans="1:16" ht="10.5" customHeight="1" x14ac:dyDescent="0.25">
      <c r="A90" s="38">
        <v>83</v>
      </c>
      <c r="B90" s="5" t="s">
        <v>9</v>
      </c>
      <c r="C90" s="6">
        <f>7900-186</f>
        <v>7714</v>
      </c>
      <c r="D90" s="6"/>
      <c r="E90" s="6">
        <f t="shared" si="1"/>
        <v>22222</v>
      </c>
      <c r="F90" s="6">
        <f>9127-2680-162-118</f>
        <v>6167</v>
      </c>
      <c r="G90" s="6">
        <v>16055</v>
      </c>
      <c r="H90" s="6"/>
      <c r="I90" s="6"/>
      <c r="J90" s="6"/>
    </row>
    <row r="91" spans="1:16" ht="10.5" customHeight="1" x14ac:dyDescent="0.25">
      <c r="A91" s="38">
        <v>84</v>
      </c>
      <c r="B91" s="5" t="s">
        <v>214</v>
      </c>
      <c r="C91" s="6"/>
      <c r="D91" s="6"/>
      <c r="E91" s="6">
        <f t="shared" si="1"/>
        <v>2198</v>
      </c>
      <c r="F91" s="6"/>
      <c r="G91" s="6"/>
      <c r="H91" s="6"/>
      <c r="I91" s="6">
        <f>2000+200-2</f>
        <v>2198</v>
      </c>
      <c r="J91" s="6"/>
    </row>
    <row r="92" spans="1:16" ht="10.5" customHeight="1" x14ac:dyDescent="0.25">
      <c r="A92" s="38">
        <v>85</v>
      </c>
      <c r="B92" s="5" t="s">
        <v>64</v>
      </c>
      <c r="C92" s="6">
        <f>71184+684</f>
        <v>71868</v>
      </c>
      <c r="D92" s="6"/>
      <c r="E92" s="6">
        <f t="shared" si="1"/>
        <v>247271</v>
      </c>
      <c r="F92" s="6">
        <f>52711+1025+120</f>
        <v>53856</v>
      </c>
      <c r="G92" s="6">
        <v>193415</v>
      </c>
      <c r="H92" s="6"/>
      <c r="I92" s="6"/>
      <c r="J92" s="6"/>
    </row>
    <row r="93" spans="1:16" ht="10.5" customHeight="1" x14ac:dyDescent="0.25">
      <c r="A93" s="38">
        <v>86</v>
      </c>
      <c r="B93" s="5" t="s">
        <v>65</v>
      </c>
      <c r="C93" s="6">
        <f>55741-642</f>
        <v>55099</v>
      </c>
      <c r="D93" s="6"/>
      <c r="E93" s="6">
        <f t="shared" si="1"/>
        <v>184545</v>
      </c>
      <c r="F93" s="6">
        <f>22997+906+400+13</f>
        <v>24316</v>
      </c>
      <c r="G93" s="6">
        <v>152384</v>
      </c>
      <c r="H93" s="6"/>
      <c r="I93" s="6">
        <f>7839+6</f>
        <v>7845</v>
      </c>
      <c r="J93" s="6"/>
    </row>
    <row r="94" spans="1:16" ht="24.75" customHeight="1" x14ac:dyDescent="0.25">
      <c r="A94" s="38">
        <v>87</v>
      </c>
      <c r="B94" s="7" t="s">
        <v>175</v>
      </c>
      <c r="C94" s="6">
        <v>3000</v>
      </c>
      <c r="D94" s="6"/>
      <c r="E94" s="6">
        <f t="shared" si="1"/>
        <v>27698</v>
      </c>
      <c r="F94" s="6">
        <v>0</v>
      </c>
      <c r="G94" s="6">
        <v>0</v>
      </c>
      <c r="H94" s="6">
        <f>27693+5</f>
        <v>27698</v>
      </c>
      <c r="I94" s="6"/>
      <c r="J94" s="6"/>
    </row>
    <row r="95" spans="1:16" ht="10.5" customHeight="1" x14ac:dyDescent="0.25">
      <c r="A95" s="38">
        <v>88</v>
      </c>
      <c r="B95" s="5" t="s">
        <v>66</v>
      </c>
      <c r="C95" s="6">
        <v>16256</v>
      </c>
      <c r="D95" s="6"/>
      <c r="E95" s="6">
        <f t="shared" si="1"/>
        <v>56204</v>
      </c>
      <c r="F95" s="6">
        <f>11651+18</f>
        <v>11669</v>
      </c>
      <c r="G95" s="6">
        <v>44535</v>
      </c>
      <c r="H95" s="6"/>
      <c r="I95" s="6"/>
      <c r="J95" s="6"/>
    </row>
    <row r="96" spans="1:16" ht="10.5" customHeight="1" x14ac:dyDescent="0.25">
      <c r="A96" s="38">
        <v>89</v>
      </c>
      <c r="B96" s="5" t="s">
        <v>67</v>
      </c>
      <c r="C96" s="6">
        <f>18728-29</f>
        <v>18699</v>
      </c>
      <c r="D96" s="6"/>
      <c r="E96" s="6">
        <f t="shared" si="1"/>
        <v>64755</v>
      </c>
      <c r="F96" s="6">
        <f>13726+274-60</f>
        <v>13940</v>
      </c>
      <c r="G96" s="6">
        <v>50815</v>
      </c>
      <c r="H96" s="6"/>
      <c r="I96" s="6"/>
      <c r="J96" s="6"/>
    </row>
    <row r="97" spans="1:10" ht="10.5" customHeight="1" x14ac:dyDescent="0.25">
      <c r="A97" s="38">
        <v>90</v>
      </c>
      <c r="B97" s="5" t="s">
        <v>68</v>
      </c>
      <c r="C97" s="6">
        <v>12715</v>
      </c>
      <c r="D97" s="6"/>
      <c r="E97" s="6">
        <f t="shared" si="1"/>
        <v>43955</v>
      </c>
      <c r="F97" s="6">
        <f>8544-4</f>
        <v>8540</v>
      </c>
      <c r="G97" s="6">
        <v>35415</v>
      </c>
      <c r="H97" s="6"/>
      <c r="I97" s="6"/>
      <c r="J97" s="6"/>
    </row>
    <row r="98" spans="1:10" ht="10.5" customHeight="1" x14ac:dyDescent="0.25">
      <c r="A98" s="38">
        <v>91</v>
      </c>
      <c r="B98" s="5" t="s">
        <v>215</v>
      </c>
      <c r="C98" s="6"/>
      <c r="D98" s="6"/>
      <c r="E98" s="6">
        <f t="shared" si="1"/>
        <v>200</v>
      </c>
      <c r="F98" s="6"/>
      <c r="G98" s="6"/>
      <c r="H98" s="6">
        <v>200</v>
      </c>
      <c r="I98" s="6"/>
      <c r="J98" s="6"/>
    </row>
    <row r="99" spans="1:10" ht="10.5" customHeight="1" x14ac:dyDescent="0.25">
      <c r="A99" s="38">
        <v>92</v>
      </c>
      <c r="B99" s="5" t="s">
        <v>104</v>
      </c>
      <c r="C99" s="6">
        <f>13244-27</f>
        <v>13217</v>
      </c>
      <c r="D99" s="6"/>
      <c r="E99" s="6">
        <f t="shared" si="1"/>
        <v>66291</v>
      </c>
      <c r="F99" s="6">
        <f>14396-2000-112-81</f>
        <v>12203</v>
      </c>
      <c r="G99" s="6">
        <v>54088</v>
      </c>
      <c r="H99" s="6"/>
      <c r="I99" s="6"/>
      <c r="J99" s="6"/>
    </row>
    <row r="100" spans="1:10" ht="10.5" customHeight="1" x14ac:dyDescent="0.25">
      <c r="A100" s="38">
        <v>93</v>
      </c>
      <c r="B100" s="5" t="s">
        <v>105</v>
      </c>
      <c r="C100" s="6">
        <v>11229</v>
      </c>
      <c r="D100" s="6"/>
      <c r="E100" s="6">
        <f t="shared" si="1"/>
        <v>58100</v>
      </c>
      <c r="F100" s="6">
        <f>11307+43</f>
        <v>11350</v>
      </c>
      <c r="G100" s="6">
        <v>46750</v>
      </c>
      <c r="H100" s="6"/>
      <c r="I100" s="6"/>
      <c r="J100" s="6"/>
    </row>
    <row r="101" spans="1:10" ht="10.5" customHeight="1" x14ac:dyDescent="0.25">
      <c r="A101" s="38">
        <v>94</v>
      </c>
      <c r="B101" s="5" t="s">
        <v>106</v>
      </c>
      <c r="C101" s="6">
        <f>22324-4-4</f>
        <v>22316</v>
      </c>
      <c r="D101" s="6">
        <f>7164-4</f>
        <v>7160</v>
      </c>
      <c r="E101" s="6">
        <f t="shared" si="1"/>
        <v>79178</v>
      </c>
      <c r="F101" s="6">
        <f>17930+800-15</f>
        <v>18715</v>
      </c>
      <c r="G101" s="6">
        <v>60463</v>
      </c>
      <c r="H101" s="6"/>
      <c r="I101" s="6"/>
      <c r="J101" s="6"/>
    </row>
    <row r="102" spans="1:10" ht="10.5" customHeight="1" x14ac:dyDescent="0.25">
      <c r="A102" s="38">
        <v>95</v>
      </c>
      <c r="B102" s="5" t="s">
        <v>107</v>
      </c>
      <c r="C102" s="6">
        <f>25750+55</f>
        <v>25805</v>
      </c>
      <c r="D102" s="6">
        <f>6921+55</f>
        <v>6976</v>
      </c>
      <c r="E102" s="6">
        <f t="shared" si="1"/>
        <v>98122</v>
      </c>
      <c r="F102" s="6">
        <f>24565+700+57</f>
        <v>25322</v>
      </c>
      <c r="G102" s="6">
        <v>72800</v>
      </c>
      <c r="H102" s="6"/>
      <c r="I102" s="6"/>
      <c r="J102" s="6"/>
    </row>
    <row r="103" spans="1:10" ht="10.5" customHeight="1" x14ac:dyDescent="0.25">
      <c r="A103" s="38">
        <v>96</v>
      </c>
      <c r="B103" s="5" t="s">
        <v>176</v>
      </c>
      <c r="C103" s="6">
        <v>7236</v>
      </c>
      <c r="D103" s="6"/>
      <c r="E103" s="6">
        <f t="shared" si="1"/>
        <v>35625</v>
      </c>
      <c r="F103" s="6">
        <f>7288+100+28</f>
        <v>7416</v>
      </c>
      <c r="G103" s="6">
        <v>28209</v>
      </c>
      <c r="H103" s="6"/>
      <c r="I103" s="6"/>
      <c r="J103" s="6"/>
    </row>
    <row r="104" spans="1:10" ht="10.5" customHeight="1" x14ac:dyDescent="0.25">
      <c r="A104" s="38">
        <v>97</v>
      </c>
      <c r="B104" s="5" t="s">
        <v>177</v>
      </c>
      <c r="C104" s="6">
        <v>0</v>
      </c>
      <c r="D104" s="6"/>
      <c r="E104" s="6">
        <f t="shared" si="1"/>
        <v>22999</v>
      </c>
      <c r="F104" s="6">
        <v>0</v>
      </c>
      <c r="G104" s="6">
        <v>0</v>
      </c>
      <c r="H104" s="6">
        <f>23000-1</f>
        <v>22999</v>
      </c>
      <c r="I104" s="6"/>
      <c r="J104" s="6"/>
    </row>
    <row r="105" spans="1:10" ht="10.5" customHeight="1" x14ac:dyDescent="0.25">
      <c r="A105" s="38">
        <v>98</v>
      </c>
      <c r="B105" s="5" t="s">
        <v>178</v>
      </c>
      <c r="C105" s="6">
        <v>9223</v>
      </c>
      <c r="D105" s="6"/>
      <c r="E105" s="6">
        <f t="shared" si="1"/>
        <v>33972</v>
      </c>
      <c r="F105" s="6">
        <v>0</v>
      </c>
      <c r="G105" s="6">
        <v>0</v>
      </c>
      <c r="H105" s="6">
        <f>33800+172</f>
        <v>33972</v>
      </c>
      <c r="I105" s="6"/>
      <c r="J105" s="6"/>
    </row>
    <row r="106" spans="1:10" ht="10.5" customHeight="1" x14ac:dyDescent="0.25">
      <c r="A106" s="38">
        <v>99</v>
      </c>
      <c r="B106" s="5" t="s">
        <v>108</v>
      </c>
      <c r="C106" s="6">
        <v>25633</v>
      </c>
      <c r="D106" s="6"/>
      <c r="E106" s="6">
        <f t="shared" si="1"/>
        <v>102123</v>
      </c>
      <c r="F106" s="6">
        <f>24934+47</f>
        <v>24981</v>
      </c>
      <c r="G106" s="6">
        <v>77142</v>
      </c>
      <c r="H106" s="6"/>
      <c r="I106" s="6"/>
      <c r="J106" s="6"/>
    </row>
    <row r="107" spans="1:10" ht="10.5" customHeight="1" x14ac:dyDescent="0.25">
      <c r="A107" s="38">
        <v>100</v>
      </c>
      <c r="B107" s="5" t="s">
        <v>109</v>
      </c>
      <c r="C107" s="6">
        <v>14891</v>
      </c>
      <c r="D107" s="6"/>
      <c r="E107" s="6">
        <f t="shared" si="1"/>
        <v>58514</v>
      </c>
      <c r="F107" s="6">
        <f>15707-55</f>
        <v>15652</v>
      </c>
      <c r="G107" s="6">
        <v>42862</v>
      </c>
      <c r="H107" s="6"/>
      <c r="I107" s="6"/>
      <c r="J107" s="6"/>
    </row>
    <row r="108" spans="1:10" ht="10.5" customHeight="1" x14ac:dyDescent="0.25">
      <c r="A108" s="38">
        <v>101</v>
      </c>
      <c r="B108" s="5" t="s">
        <v>110</v>
      </c>
      <c r="C108" s="6">
        <v>14205</v>
      </c>
      <c r="D108" s="6"/>
      <c r="E108" s="6">
        <f t="shared" si="1"/>
        <v>70101</v>
      </c>
      <c r="F108" s="6">
        <f>15391+46</f>
        <v>15437</v>
      </c>
      <c r="G108" s="6">
        <v>50067</v>
      </c>
      <c r="H108" s="6"/>
      <c r="I108" s="6">
        <f>4589+8</f>
        <v>4597</v>
      </c>
      <c r="J108" s="6"/>
    </row>
    <row r="109" spans="1:10" ht="10.5" customHeight="1" x14ac:dyDescent="0.25">
      <c r="A109" s="38">
        <v>102</v>
      </c>
      <c r="B109" s="5" t="s">
        <v>111</v>
      </c>
      <c r="C109" s="6">
        <v>10652</v>
      </c>
      <c r="D109" s="6"/>
      <c r="E109" s="6">
        <f t="shared" si="1"/>
        <v>42218</v>
      </c>
      <c r="F109" s="6">
        <f>11145+37</f>
        <v>11182</v>
      </c>
      <c r="G109" s="6">
        <v>31036</v>
      </c>
      <c r="H109" s="6"/>
      <c r="I109" s="6"/>
      <c r="J109" s="6"/>
    </row>
    <row r="110" spans="1:10" ht="10.5" customHeight="1" x14ac:dyDescent="0.25">
      <c r="A110" s="38">
        <v>103</v>
      </c>
      <c r="B110" s="5" t="s">
        <v>112</v>
      </c>
      <c r="C110" s="6">
        <f>28037-27</f>
        <v>28010</v>
      </c>
      <c r="D110" s="6"/>
      <c r="E110" s="6">
        <f t="shared" si="1"/>
        <v>132401</v>
      </c>
      <c r="F110" s="6">
        <f>32521-45</f>
        <v>32476</v>
      </c>
      <c r="G110" s="6">
        <v>95520</v>
      </c>
      <c r="H110" s="6"/>
      <c r="I110" s="6">
        <f>4414-9</f>
        <v>4405</v>
      </c>
      <c r="J110" s="6"/>
    </row>
    <row r="111" spans="1:10" ht="10.5" customHeight="1" x14ac:dyDescent="0.25">
      <c r="A111" s="38">
        <v>104</v>
      </c>
      <c r="B111" s="5" t="s">
        <v>113</v>
      </c>
      <c r="C111" s="6">
        <v>14319</v>
      </c>
      <c r="D111" s="6"/>
      <c r="E111" s="6">
        <f t="shared" si="1"/>
        <v>65472</v>
      </c>
      <c r="F111" s="6">
        <f>22163+81</f>
        <v>22244</v>
      </c>
      <c r="G111" s="6">
        <v>43228</v>
      </c>
      <c r="H111" s="6"/>
      <c r="I111" s="6"/>
      <c r="J111" s="6"/>
    </row>
    <row r="112" spans="1:10" ht="10.5" customHeight="1" x14ac:dyDescent="0.25">
      <c r="A112" s="38">
        <v>105</v>
      </c>
      <c r="B112" s="5" t="s">
        <v>114</v>
      </c>
      <c r="C112" s="6">
        <f>16099-15</f>
        <v>16084</v>
      </c>
      <c r="D112" s="6"/>
      <c r="E112" s="6">
        <f t="shared" si="1"/>
        <v>64504</v>
      </c>
      <c r="F112" s="6">
        <f>18613-65-49</f>
        <v>18499</v>
      </c>
      <c r="G112" s="6">
        <v>46005</v>
      </c>
      <c r="H112" s="6"/>
      <c r="I112" s="6"/>
      <c r="J112" s="6"/>
    </row>
    <row r="113" spans="1:10" ht="10.5" customHeight="1" x14ac:dyDescent="0.25">
      <c r="A113" s="38">
        <v>106</v>
      </c>
      <c r="B113" s="5" t="s">
        <v>115</v>
      </c>
      <c r="C113" s="6">
        <f>9726+80</f>
        <v>9806</v>
      </c>
      <c r="D113" s="6"/>
      <c r="E113" s="6">
        <f t="shared" si="1"/>
        <v>45232</v>
      </c>
      <c r="F113" s="6">
        <f>11996+34</f>
        <v>12030</v>
      </c>
      <c r="G113" s="6">
        <v>26427</v>
      </c>
      <c r="H113" s="6"/>
      <c r="I113" s="6">
        <f>6747+28</f>
        <v>6775</v>
      </c>
      <c r="J113" s="6"/>
    </row>
    <row r="114" spans="1:10" ht="10.5" customHeight="1" x14ac:dyDescent="0.25">
      <c r="A114" s="38">
        <v>107</v>
      </c>
      <c r="B114" s="5" t="s">
        <v>116</v>
      </c>
      <c r="C114" s="6">
        <v>28199</v>
      </c>
      <c r="D114" s="6"/>
      <c r="E114" s="6">
        <f t="shared" si="1"/>
        <v>140861</v>
      </c>
      <c r="F114" s="6">
        <f>27795+2422+300-67-49</f>
        <v>30401</v>
      </c>
      <c r="G114" s="6">
        <v>104568</v>
      </c>
      <c r="H114" s="6"/>
      <c r="I114" s="6">
        <f>5673+250-31</f>
        <v>5892</v>
      </c>
      <c r="J114" s="6"/>
    </row>
    <row r="115" spans="1:10" ht="10.5" customHeight="1" x14ac:dyDescent="0.25">
      <c r="A115" s="38">
        <v>108</v>
      </c>
      <c r="B115" s="5" t="s">
        <v>117</v>
      </c>
      <c r="C115" s="6">
        <f>12642-4</f>
        <v>12638</v>
      </c>
      <c r="D115" s="6"/>
      <c r="E115" s="6">
        <f t="shared" si="1"/>
        <v>50273</v>
      </c>
      <c r="F115" s="6">
        <f>14160+190-24</f>
        <v>14326</v>
      </c>
      <c r="G115" s="6">
        <v>35947</v>
      </c>
      <c r="H115" s="6"/>
      <c r="I115" s="6"/>
      <c r="J115" s="6"/>
    </row>
    <row r="116" spans="1:10" ht="10.5" customHeight="1" x14ac:dyDescent="0.25">
      <c r="A116" s="38">
        <v>109</v>
      </c>
      <c r="B116" s="5" t="s">
        <v>118</v>
      </c>
      <c r="C116" s="6">
        <f>12398+102</f>
        <v>12500</v>
      </c>
      <c r="D116" s="6"/>
      <c r="E116" s="6">
        <f t="shared" si="1"/>
        <v>53266</v>
      </c>
      <c r="F116" s="6">
        <f>20050+208+1000+197</f>
        <v>21455</v>
      </c>
      <c r="G116" s="6">
        <v>31811</v>
      </c>
      <c r="H116" s="6"/>
      <c r="I116" s="6"/>
      <c r="J116" s="6"/>
    </row>
    <row r="117" spans="1:10" ht="10.5" customHeight="1" x14ac:dyDescent="0.25">
      <c r="A117" s="38">
        <v>110</v>
      </c>
      <c r="B117" s="5" t="s">
        <v>179</v>
      </c>
      <c r="C117" s="6"/>
      <c r="D117" s="6"/>
      <c r="E117" s="6">
        <f t="shared" si="1"/>
        <v>17953</v>
      </c>
      <c r="F117" s="6"/>
      <c r="G117" s="6"/>
      <c r="H117" s="6">
        <f>17970-17</f>
        <v>17953</v>
      </c>
      <c r="I117" s="6"/>
      <c r="J117" s="6"/>
    </row>
    <row r="118" spans="1:10" ht="10.5" customHeight="1" x14ac:dyDescent="0.25">
      <c r="A118" s="38">
        <v>111</v>
      </c>
      <c r="B118" s="5" t="s">
        <v>180</v>
      </c>
      <c r="C118" s="6">
        <v>22500</v>
      </c>
      <c r="D118" s="6"/>
      <c r="E118" s="6">
        <f t="shared" si="1"/>
        <v>20743</v>
      </c>
      <c r="F118" s="6"/>
      <c r="G118" s="6"/>
      <c r="H118" s="6">
        <f>20733+10</f>
        <v>20743</v>
      </c>
      <c r="I118" s="6"/>
      <c r="J118" s="6"/>
    </row>
    <row r="119" spans="1:10" ht="10.5" customHeight="1" x14ac:dyDescent="0.25">
      <c r="A119" s="38">
        <v>112</v>
      </c>
      <c r="B119" s="5" t="s">
        <v>181</v>
      </c>
      <c r="C119" s="6"/>
      <c r="D119" s="6"/>
      <c r="E119" s="6">
        <f t="shared" si="1"/>
        <v>22860</v>
      </c>
      <c r="F119" s="6"/>
      <c r="G119" s="6"/>
      <c r="H119" s="6">
        <f>22847+13</f>
        <v>22860</v>
      </c>
      <c r="I119" s="6"/>
      <c r="J119" s="6"/>
    </row>
    <row r="120" spans="1:10" ht="10.5" customHeight="1" x14ac:dyDescent="0.25">
      <c r="A120" s="38">
        <v>113</v>
      </c>
      <c r="B120" s="5" t="s">
        <v>182</v>
      </c>
      <c r="C120" s="6"/>
      <c r="D120" s="6"/>
      <c r="E120" s="6">
        <f t="shared" si="1"/>
        <v>20686</v>
      </c>
      <c r="F120" s="6"/>
      <c r="G120" s="6"/>
      <c r="H120" s="6">
        <f>20599+87</f>
        <v>20686</v>
      </c>
      <c r="I120" s="6"/>
      <c r="J120" s="6"/>
    </row>
    <row r="121" spans="1:10" ht="10.5" customHeight="1" x14ac:dyDescent="0.25">
      <c r="A121" s="38">
        <v>114</v>
      </c>
      <c r="B121" s="5" t="s">
        <v>183</v>
      </c>
      <c r="C121" s="6"/>
      <c r="D121" s="6"/>
      <c r="E121" s="6">
        <f t="shared" si="1"/>
        <v>30011</v>
      </c>
      <c r="F121" s="6"/>
      <c r="G121" s="6"/>
      <c r="H121" s="6">
        <f>30037-26</f>
        <v>30011</v>
      </c>
      <c r="I121" s="6"/>
      <c r="J121" s="6"/>
    </row>
    <row r="122" spans="1:10" ht="10.5" customHeight="1" x14ac:dyDescent="0.25">
      <c r="A122" s="38">
        <v>115</v>
      </c>
      <c r="B122" s="5" t="s">
        <v>184</v>
      </c>
      <c r="C122" s="6"/>
      <c r="D122" s="6"/>
      <c r="E122" s="6">
        <f t="shared" si="1"/>
        <v>18501</v>
      </c>
      <c r="F122" s="6"/>
      <c r="G122" s="6"/>
      <c r="H122" s="6">
        <v>18501</v>
      </c>
      <c r="I122" s="6"/>
      <c r="J122" s="6"/>
    </row>
    <row r="123" spans="1:10" ht="10.5" customHeight="1" x14ac:dyDescent="0.25">
      <c r="A123" s="38">
        <v>116</v>
      </c>
      <c r="B123" s="5" t="s">
        <v>185</v>
      </c>
      <c r="C123" s="6"/>
      <c r="D123" s="6"/>
      <c r="E123" s="6">
        <f t="shared" si="1"/>
        <v>15554</v>
      </c>
      <c r="F123" s="6"/>
      <c r="G123" s="6"/>
      <c r="H123" s="6">
        <v>15554</v>
      </c>
      <c r="I123" s="6"/>
      <c r="J123" s="6"/>
    </row>
    <row r="124" spans="1:10" ht="10.5" customHeight="1" x14ac:dyDescent="0.25">
      <c r="A124" s="38">
        <v>117</v>
      </c>
      <c r="B124" s="5" t="s">
        <v>69</v>
      </c>
      <c r="C124" s="6">
        <f>36670-557+28</f>
        <v>36141</v>
      </c>
      <c r="D124" s="6">
        <f>8728-3000+28</f>
        <v>5756</v>
      </c>
      <c r="E124" s="6">
        <f t="shared" si="1"/>
        <v>119393</v>
      </c>
      <c r="F124" s="6">
        <f>25000+560+61</f>
        <v>25621</v>
      </c>
      <c r="G124" s="6">
        <v>93772</v>
      </c>
      <c r="H124" s="6"/>
      <c r="I124" s="6"/>
      <c r="J124" s="6"/>
    </row>
    <row r="125" spans="1:10" ht="10.5" customHeight="1" x14ac:dyDescent="0.25">
      <c r="A125" s="38">
        <v>118</v>
      </c>
      <c r="B125" s="5" t="s">
        <v>70</v>
      </c>
      <c r="C125" s="6">
        <f>39947+522+192</f>
        <v>40661</v>
      </c>
      <c r="D125" s="6">
        <f>23948+522+192</f>
        <v>24662</v>
      </c>
      <c r="E125" s="6">
        <f t="shared" si="1"/>
        <v>78960</v>
      </c>
      <c r="F125" s="6">
        <f>29000+110</f>
        <v>29110</v>
      </c>
      <c r="G125" s="6">
        <v>49850</v>
      </c>
      <c r="H125" s="6"/>
      <c r="I125" s="6"/>
      <c r="J125" s="6"/>
    </row>
    <row r="126" spans="1:10" ht="10.5" customHeight="1" x14ac:dyDescent="0.25">
      <c r="A126" s="38">
        <v>119</v>
      </c>
      <c r="B126" s="5" t="s">
        <v>71</v>
      </c>
      <c r="C126" s="6">
        <v>13811</v>
      </c>
      <c r="D126" s="6"/>
      <c r="E126" s="6">
        <f t="shared" si="1"/>
        <v>69989</v>
      </c>
      <c r="F126" s="6">
        <f>14000+1000-79-57</f>
        <v>14864</v>
      </c>
      <c r="G126" s="6">
        <v>55125</v>
      </c>
      <c r="H126" s="6"/>
      <c r="I126" s="6"/>
      <c r="J126" s="6"/>
    </row>
    <row r="127" spans="1:10" ht="10.5" customHeight="1" x14ac:dyDescent="0.25">
      <c r="A127" s="38">
        <v>120</v>
      </c>
      <c r="B127" s="5" t="s">
        <v>72</v>
      </c>
      <c r="C127" s="6">
        <v>7588</v>
      </c>
      <c r="D127" s="6"/>
      <c r="E127" s="6">
        <f t="shared" si="1"/>
        <v>39152</v>
      </c>
      <c r="F127" s="6">
        <f>11670+40</f>
        <v>11710</v>
      </c>
      <c r="G127" s="6">
        <v>27442</v>
      </c>
      <c r="H127" s="6"/>
      <c r="I127" s="6"/>
      <c r="J127" s="6"/>
    </row>
    <row r="128" spans="1:10" ht="10.5" customHeight="1" x14ac:dyDescent="0.25">
      <c r="A128" s="38">
        <v>121</v>
      </c>
      <c r="B128" s="5" t="s">
        <v>73</v>
      </c>
      <c r="C128" s="6">
        <f>41792-1+281</f>
        <v>42072</v>
      </c>
      <c r="D128" s="6">
        <f>38527+281</f>
        <v>38808</v>
      </c>
      <c r="E128" s="6">
        <f t="shared" si="1"/>
        <v>13028</v>
      </c>
      <c r="F128" s="6">
        <f>3046+2</f>
        <v>3048</v>
      </c>
      <c r="G128" s="6">
        <v>9980</v>
      </c>
      <c r="H128" s="6"/>
      <c r="I128" s="6"/>
      <c r="J128" s="6"/>
    </row>
    <row r="129" spans="1:10" ht="10.5" customHeight="1" x14ac:dyDescent="0.25">
      <c r="A129" s="38">
        <v>122</v>
      </c>
      <c r="B129" s="5" t="s">
        <v>74</v>
      </c>
      <c r="C129" s="6">
        <v>6501</v>
      </c>
      <c r="D129" s="6"/>
      <c r="E129" s="6">
        <f t="shared" si="1"/>
        <v>32793</v>
      </c>
      <c r="F129" s="6">
        <f>9644+200-526-385</f>
        <v>8933</v>
      </c>
      <c r="G129" s="6">
        <v>23860</v>
      </c>
      <c r="H129" s="6"/>
      <c r="I129" s="6"/>
      <c r="J129" s="6"/>
    </row>
    <row r="130" spans="1:10" ht="10.5" customHeight="1" x14ac:dyDescent="0.25">
      <c r="A130" s="38">
        <v>123</v>
      </c>
      <c r="B130" s="5" t="s">
        <v>75</v>
      </c>
      <c r="C130" s="6">
        <v>41388</v>
      </c>
      <c r="D130" s="6"/>
      <c r="E130" s="6">
        <f t="shared" si="1"/>
        <v>209067</v>
      </c>
      <c r="F130" s="6">
        <f>65000+400+30</f>
        <v>65430</v>
      </c>
      <c r="G130" s="6">
        <v>137865</v>
      </c>
      <c r="H130" s="6"/>
      <c r="I130" s="6">
        <v>5772</v>
      </c>
      <c r="J130" s="6"/>
    </row>
    <row r="131" spans="1:10" ht="10.5" customHeight="1" x14ac:dyDescent="0.25">
      <c r="A131" s="38">
        <v>124</v>
      </c>
      <c r="B131" s="5" t="s">
        <v>76</v>
      </c>
      <c r="C131" s="6">
        <f>27600+843</f>
        <v>28443</v>
      </c>
      <c r="D131" s="6"/>
      <c r="E131" s="6">
        <f t="shared" si="1"/>
        <v>59407</v>
      </c>
      <c r="F131" s="6">
        <f>12488+51</f>
        <v>12539</v>
      </c>
      <c r="G131" s="6">
        <v>46868</v>
      </c>
      <c r="H131" s="6"/>
      <c r="I131" s="6"/>
      <c r="J131" s="6"/>
    </row>
    <row r="132" spans="1:10" ht="10.5" customHeight="1" x14ac:dyDescent="0.25">
      <c r="A132" s="38">
        <v>125</v>
      </c>
      <c r="B132" s="5" t="s">
        <v>77</v>
      </c>
      <c r="C132" s="6">
        <f>15699</f>
        <v>15699</v>
      </c>
      <c r="D132" s="6"/>
      <c r="E132" s="6">
        <f t="shared" si="1"/>
        <v>79849</v>
      </c>
      <c r="F132" s="6">
        <f>20740+83</f>
        <v>20823</v>
      </c>
      <c r="G132" s="6">
        <v>59026</v>
      </c>
      <c r="H132" s="6"/>
      <c r="I132" s="6"/>
      <c r="J132" s="6"/>
    </row>
    <row r="133" spans="1:10" ht="10.5" customHeight="1" x14ac:dyDescent="0.25">
      <c r="A133" s="38">
        <v>126</v>
      </c>
      <c r="B133" s="5" t="s">
        <v>78</v>
      </c>
      <c r="C133" s="6"/>
      <c r="D133" s="6"/>
      <c r="E133" s="6">
        <f t="shared" si="1"/>
        <v>36083</v>
      </c>
      <c r="F133" s="6"/>
      <c r="G133" s="6"/>
      <c r="H133" s="6">
        <f>36109-26</f>
        <v>36083</v>
      </c>
      <c r="I133" s="6"/>
      <c r="J133" s="6"/>
    </row>
    <row r="134" spans="1:10" ht="10.5" customHeight="1" x14ac:dyDescent="0.25">
      <c r="A134" s="38">
        <v>127</v>
      </c>
      <c r="B134" s="5" t="s">
        <v>79</v>
      </c>
      <c r="C134" s="6">
        <v>26712</v>
      </c>
      <c r="D134" s="6"/>
      <c r="E134" s="6">
        <f t="shared" si="1"/>
        <v>93945</v>
      </c>
      <c r="F134" s="6">
        <f>18994+105</f>
        <v>19099</v>
      </c>
      <c r="G134" s="6">
        <v>74846</v>
      </c>
      <c r="H134" s="6"/>
      <c r="I134" s="6"/>
      <c r="J134" s="6"/>
    </row>
    <row r="135" spans="1:10" ht="10.5" customHeight="1" x14ac:dyDescent="0.25">
      <c r="A135" s="38">
        <v>128</v>
      </c>
      <c r="B135" s="5" t="s">
        <v>80</v>
      </c>
      <c r="C135" s="6">
        <f>10952-61</f>
        <v>10891</v>
      </c>
      <c r="D135" s="6"/>
      <c r="E135" s="6">
        <f t="shared" si="1"/>
        <v>37813</v>
      </c>
      <c r="F135" s="6">
        <f>10997-56</f>
        <v>10941</v>
      </c>
      <c r="G135" s="6">
        <v>26872</v>
      </c>
      <c r="H135" s="6"/>
      <c r="I135" s="6"/>
      <c r="J135" s="6"/>
    </row>
    <row r="136" spans="1:10" ht="10.5" customHeight="1" x14ac:dyDescent="0.25">
      <c r="A136" s="38">
        <v>129</v>
      </c>
      <c r="B136" s="5" t="s">
        <v>81</v>
      </c>
      <c r="C136" s="6">
        <f>16047-5</f>
        <v>16042</v>
      </c>
      <c r="D136" s="6"/>
      <c r="E136" s="6">
        <f t="shared" si="1"/>
        <v>55741</v>
      </c>
      <c r="F136" s="6">
        <f>12200+231+48</f>
        <v>12479</v>
      </c>
      <c r="G136" s="6">
        <v>43262</v>
      </c>
      <c r="H136" s="6"/>
      <c r="I136" s="6"/>
      <c r="J136" s="6"/>
    </row>
    <row r="137" spans="1:10" ht="10.5" customHeight="1" x14ac:dyDescent="0.25">
      <c r="A137" s="38">
        <v>130</v>
      </c>
      <c r="B137" s="5" t="s">
        <v>82</v>
      </c>
      <c r="C137" s="6">
        <v>28381</v>
      </c>
      <c r="D137" s="6"/>
      <c r="E137" s="6">
        <f t="shared" si="1"/>
        <v>98276</v>
      </c>
      <c r="F137" s="6">
        <f>30123+112</f>
        <v>30235</v>
      </c>
      <c r="G137" s="6">
        <v>68041</v>
      </c>
      <c r="H137" s="6"/>
      <c r="I137" s="6"/>
      <c r="J137" s="6"/>
    </row>
    <row r="138" spans="1:10" ht="10.5" customHeight="1" x14ac:dyDescent="0.25">
      <c r="A138" s="38">
        <v>131</v>
      </c>
      <c r="B138" s="5" t="s">
        <v>83</v>
      </c>
      <c r="C138" s="6">
        <v>26948</v>
      </c>
      <c r="D138" s="6"/>
      <c r="E138" s="6">
        <f t="shared" si="1"/>
        <v>93214</v>
      </c>
      <c r="F138" s="6">
        <f>17719+34</f>
        <v>17753</v>
      </c>
      <c r="G138" s="6">
        <v>75461</v>
      </c>
      <c r="H138" s="6"/>
      <c r="I138" s="6"/>
      <c r="J138" s="6"/>
    </row>
    <row r="139" spans="1:10" ht="10.5" customHeight="1" x14ac:dyDescent="0.25">
      <c r="A139" s="38">
        <v>132</v>
      </c>
      <c r="B139" s="5" t="s">
        <v>84</v>
      </c>
      <c r="C139" s="6">
        <v>15845</v>
      </c>
      <c r="D139" s="6"/>
      <c r="E139" s="6">
        <f t="shared" si="1"/>
        <v>54662</v>
      </c>
      <c r="F139" s="6">
        <f>10408-11</f>
        <v>10397</v>
      </c>
      <c r="G139" s="6">
        <v>44265</v>
      </c>
      <c r="H139" s="6"/>
      <c r="I139" s="6"/>
      <c r="J139" s="6"/>
    </row>
    <row r="140" spans="1:10" ht="10.5" customHeight="1" x14ac:dyDescent="0.25">
      <c r="A140" s="38">
        <v>133</v>
      </c>
      <c r="B140" s="5" t="s">
        <v>85</v>
      </c>
      <c r="C140" s="6">
        <f>11970-2</f>
        <v>11968</v>
      </c>
      <c r="D140" s="6"/>
      <c r="E140" s="6">
        <f t="shared" si="1"/>
        <v>41172</v>
      </c>
      <c r="F140" s="6">
        <f>10917-249+25</f>
        <v>10693</v>
      </c>
      <c r="G140" s="6">
        <v>30479</v>
      </c>
      <c r="H140" s="6"/>
      <c r="I140" s="6"/>
      <c r="J140" s="6"/>
    </row>
    <row r="141" spans="1:10" ht="10.5" customHeight="1" x14ac:dyDescent="0.25">
      <c r="A141" s="38">
        <v>134</v>
      </c>
      <c r="B141" s="5" t="s">
        <v>86</v>
      </c>
      <c r="C141" s="6">
        <v>17025</v>
      </c>
      <c r="D141" s="6"/>
      <c r="E141" s="6">
        <f t="shared" si="1"/>
        <v>58852</v>
      </c>
      <c r="F141" s="6">
        <f>12035+6</f>
        <v>12041</v>
      </c>
      <c r="G141" s="6">
        <v>46811</v>
      </c>
      <c r="H141" s="6"/>
      <c r="I141" s="6"/>
      <c r="J141" s="6"/>
    </row>
    <row r="142" spans="1:10" ht="10.5" customHeight="1" x14ac:dyDescent="0.25">
      <c r="A142" s="38">
        <v>135</v>
      </c>
      <c r="B142" s="5" t="s">
        <v>87</v>
      </c>
      <c r="C142" s="6">
        <v>28984</v>
      </c>
      <c r="D142" s="6"/>
      <c r="E142" s="6">
        <f t="shared" si="1"/>
        <v>100273</v>
      </c>
      <c r="F142" s="6">
        <f>23317+81</f>
        <v>23398</v>
      </c>
      <c r="G142" s="6">
        <v>76875</v>
      </c>
      <c r="H142" s="6"/>
      <c r="I142" s="6"/>
      <c r="J142" s="6"/>
    </row>
    <row r="143" spans="1:10" ht="10.5" customHeight="1" x14ac:dyDescent="0.25">
      <c r="A143" s="38">
        <v>136</v>
      </c>
      <c r="B143" s="5" t="s">
        <v>88</v>
      </c>
      <c r="C143" s="6">
        <f>13658-46</f>
        <v>13612</v>
      </c>
      <c r="D143" s="6"/>
      <c r="E143" s="6">
        <f t="shared" si="1"/>
        <v>47172</v>
      </c>
      <c r="F143" s="6">
        <f>9435-46</f>
        <v>9389</v>
      </c>
      <c r="G143" s="6">
        <v>37783</v>
      </c>
      <c r="H143" s="6"/>
      <c r="I143" s="6"/>
      <c r="J143" s="6"/>
    </row>
    <row r="144" spans="1:10" ht="10.5" customHeight="1" x14ac:dyDescent="0.25">
      <c r="A144" s="38">
        <v>137</v>
      </c>
      <c r="B144" s="7" t="s">
        <v>186</v>
      </c>
      <c r="C144" s="6"/>
      <c r="D144" s="6"/>
      <c r="E144" s="6">
        <f t="shared" si="1"/>
        <v>0</v>
      </c>
      <c r="F144" s="6">
        <v>0</v>
      </c>
      <c r="G144" s="6">
        <v>0</v>
      </c>
      <c r="H144" s="6">
        <f>200-200</f>
        <v>0</v>
      </c>
      <c r="I144" s="6"/>
      <c r="J144" s="6"/>
    </row>
    <row r="145" spans="1:12" ht="24" customHeight="1" x14ac:dyDescent="0.25">
      <c r="A145" s="38">
        <v>138</v>
      </c>
      <c r="B145" s="7" t="s">
        <v>89</v>
      </c>
      <c r="C145" s="6">
        <f>7111-165-94</f>
        <v>6852</v>
      </c>
      <c r="D145" s="6"/>
      <c r="E145" s="6">
        <f t="shared" si="1"/>
        <v>36466</v>
      </c>
      <c r="F145" s="6">
        <f>8384-109-79</f>
        <v>8196</v>
      </c>
      <c r="G145" s="6">
        <v>28270</v>
      </c>
      <c r="H145" s="6"/>
      <c r="I145" s="6"/>
      <c r="J145" s="6"/>
    </row>
    <row r="146" spans="1:12" ht="10.5" customHeight="1" x14ac:dyDescent="0.25">
      <c r="A146" s="38">
        <v>139</v>
      </c>
      <c r="B146" s="5" t="s">
        <v>8</v>
      </c>
      <c r="C146" s="6">
        <f>3495</f>
        <v>3495</v>
      </c>
      <c r="D146" s="6"/>
      <c r="E146" s="6">
        <f t="shared" si="1"/>
        <v>12384</v>
      </c>
      <c r="F146" s="6">
        <f>2626+27</f>
        <v>2653</v>
      </c>
      <c r="G146" s="6">
        <v>9731</v>
      </c>
      <c r="H146" s="6"/>
      <c r="I146" s="6"/>
      <c r="J146" s="6"/>
    </row>
    <row r="147" spans="1:12" ht="21.75" customHeight="1" x14ac:dyDescent="0.25">
      <c r="A147" s="38">
        <v>140</v>
      </c>
      <c r="B147" s="7" t="s">
        <v>187</v>
      </c>
      <c r="C147" s="6"/>
      <c r="D147" s="6"/>
      <c r="E147" s="6">
        <f t="shared" si="1"/>
        <v>4981</v>
      </c>
      <c r="F147" s="6">
        <v>0</v>
      </c>
      <c r="G147" s="6">
        <v>0</v>
      </c>
      <c r="H147" s="6">
        <f>5000-19</f>
        <v>4981</v>
      </c>
      <c r="I147" s="6"/>
      <c r="J147" s="6"/>
    </row>
    <row r="148" spans="1:12" ht="10.5" customHeight="1" x14ac:dyDescent="0.25">
      <c r="A148" s="38">
        <v>141</v>
      </c>
      <c r="B148" s="5" t="s">
        <v>119</v>
      </c>
      <c r="C148" s="6">
        <v>2523</v>
      </c>
      <c r="D148" s="6"/>
      <c r="E148" s="6">
        <f t="shared" si="1"/>
        <v>9788</v>
      </c>
      <c r="F148" s="6">
        <f>2203+8</f>
        <v>2211</v>
      </c>
      <c r="G148" s="6">
        <v>7577</v>
      </c>
      <c r="H148" s="6"/>
      <c r="I148" s="6"/>
      <c r="J148" s="6"/>
    </row>
    <row r="149" spans="1:12" ht="10.5" customHeight="1" x14ac:dyDescent="0.25">
      <c r="A149" s="38">
        <v>142</v>
      </c>
      <c r="B149" s="7" t="s">
        <v>90</v>
      </c>
      <c r="C149" s="6"/>
      <c r="D149" s="6"/>
      <c r="E149" s="6">
        <f t="shared" si="1"/>
        <v>1496</v>
      </c>
      <c r="F149" s="6"/>
      <c r="G149" s="6"/>
      <c r="H149" s="6">
        <f>1500+1616-519-1101</f>
        <v>1496</v>
      </c>
      <c r="I149" s="6"/>
      <c r="J149" s="6"/>
    </row>
    <row r="150" spans="1:12" ht="10.5" customHeight="1" x14ac:dyDescent="0.25">
      <c r="A150" s="38">
        <v>143</v>
      </c>
      <c r="B150" s="7" t="s">
        <v>100</v>
      </c>
      <c r="C150" s="6"/>
      <c r="D150" s="6"/>
      <c r="E150" s="6">
        <f t="shared" ref="E150:E178" si="2">F150+G150+H150+I150+J150</f>
        <v>166</v>
      </c>
      <c r="F150" s="6"/>
      <c r="G150" s="6"/>
      <c r="H150" s="6"/>
      <c r="I150" s="6"/>
      <c r="J150" s="6">
        <f>96+9+129-68</f>
        <v>166</v>
      </c>
      <c r="L150" s="14"/>
    </row>
    <row r="151" spans="1:12" ht="10.5" customHeight="1" x14ac:dyDescent="0.25">
      <c r="A151" s="38">
        <v>144</v>
      </c>
      <c r="B151" s="7" t="s">
        <v>216</v>
      </c>
      <c r="C151" s="6"/>
      <c r="D151" s="6"/>
      <c r="E151" s="6">
        <f t="shared" si="2"/>
        <v>68</v>
      </c>
      <c r="F151" s="6"/>
      <c r="G151" s="6"/>
      <c r="H151" s="6"/>
      <c r="I151" s="6"/>
      <c r="J151" s="6">
        <v>68</v>
      </c>
      <c r="L151" s="14"/>
    </row>
    <row r="152" spans="1:12" ht="10.5" customHeight="1" x14ac:dyDescent="0.25">
      <c r="A152" s="38">
        <v>145</v>
      </c>
      <c r="B152" s="5" t="s">
        <v>188</v>
      </c>
      <c r="C152" s="6">
        <f>500-8</f>
        <v>492</v>
      </c>
      <c r="D152" s="6"/>
      <c r="E152" s="6">
        <f t="shared" si="2"/>
        <v>891</v>
      </c>
      <c r="F152" s="6"/>
      <c r="G152" s="6"/>
      <c r="H152" s="6">
        <f>900-9</f>
        <v>891</v>
      </c>
      <c r="I152" s="6"/>
      <c r="J152" s="6"/>
      <c r="L152" s="14"/>
    </row>
    <row r="153" spans="1:12" ht="10.5" customHeight="1" x14ac:dyDescent="0.25">
      <c r="A153" s="38">
        <v>146</v>
      </c>
      <c r="B153" s="5" t="s">
        <v>189</v>
      </c>
      <c r="C153" s="6">
        <v>500</v>
      </c>
      <c r="D153" s="6"/>
      <c r="E153" s="6">
        <f t="shared" si="2"/>
        <v>999</v>
      </c>
      <c r="F153" s="6"/>
      <c r="G153" s="6"/>
      <c r="H153" s="6">
        <f>1000-1</f>
        <v>999</v>
      </c>
      <c r="I153" s="6"/>
      <c r="J153" s="6"/>
      <c r="L153" s="14"/>
    </row>
    <row r="154" spans="1:12" ht="10.5" customHeight="1" x14ac:dyDescent="0.25">
      <c r="A154" s="38">
        <v>147</v>
      </c>
      <c r="B154" s="5" t="s">
        <v>217</v>
      </c>
      <c r="C154" s="6"/>
      <c r="D154" s="6"/>
      <c r="E154" s="6">
        <f t="shared" si="2"/>
        <v>300</v>
      </c>
      <c r="F154" s="6"/>
      <c r="G154" s="6"/>
      <c r="H154" s="6">
        <v>300</v>
      </c>
      <c r="I154" s="6"/>
      <c r="J154" s="6"/>
      <c r="L154" s="14"/>
    </row>
    <row r="155" spans="1:12" ht="10.5" customHeight="1" x14ac:dyDescent="0.25">
      <c r="A155" s="38">
        <v>148</v>
      </c>
      <c r="B155" s="5" t="s">
        <v>218</v>
      </c>
      <c r="C155" s="6"/>
      <c r="D155" s="6"/>
      <c r="E155" s="6">
        <f t="shared" si="2"/>
        <v>85</v>
      </c>
      <c r="F155" s="6"/>
      <c r="G155" s="6"/>
      <c r="H155" s="6">
        <f>400-250-60-5</f>
        <v>85</v>
      </c>
      <c r="I155" s="6"/>
      <c r="J155" s="6"/>
      <c r="L155" s="14"/>
    </row>
    <row r="156" spans="1:12" ht="10.5" customHeight="1" x14ac:dyDescent="0.25">
      <c r="A156" s="38">
        <v>149</v>
      </c>
      <c r="B156" s="5" t="s">
        <v>120</v>
      </c>
      <c r="C156" s="6"/>
      <c r="D156" s="6"/>
      <c r="E156" s="6">
        <f t="shared" si="2"/>
        <v>1449</v>
      </c>
      <c r="F156" s="6"/>
      <c r="G156" s="6"/>
      <c r="H156" s="6"/>
      <c r="I156" s="6"/>
      <c r="J156" s="6">
        <f>960+145+344</f>
        <v>1449</v>
      </c>
      <c r="L156" s="14"/>
    </row>
    <row r="157" spans="1:12" ht="10.5" customHeight="1" x14ac:dyDescent="0.25">
      <c r="A157" s="38">
        <v>150</v>
      </c>
      <c r="B157" s="5" t="s">
        <v>190</v>
      </c>
      <c r="C157" s="6">
        <v>500</v>
      </c>
      <c r="D157" s="6"/>
      <c r="E157" s="6">
        <f t="shared" si="2"/>
        <v>199</v>
      </c>
      <c r="F157" s="6"/>
      <c r="G157" s="6"/>
      <c r="H157" s="6">
        <f>200-1</f>
        <v>199</v>
      </c>
      <c r="I157" s="6"/>
      <c r="J157" s="6"/>
      <c r="L157" s="14"/>
    </row>
    <row r="158" spans="1:12" ht="10.5" customHeight="1" x14ac:dyDescent="0.25">
      <c r="A158" s="38">
        <v>151</v>
      </c>
      <c r="B158" s="5" t="s">
        <v>219</v>
      </c>
      <c r="C158" s="6"/>
      <c r="D158" s="6"/>
      <c r="E158" s="6">
        <f t="shared" si="2"/>
        <v>99</v>
      </c>
      <c r="F158" s="6"/>
      <c r="G158" s="6"/>
      <c r="H158" s="6">
        <f>200-100-1</f>
        <v>99</v>
      </c>
      <c r="I158" s="6"/>
      <c r="J158" s="6"/>
      <c r="L158" s="14"/>
    </row>
    <row r="159" spans="1:12" ht="10.5" customHeight="1" x14ac:dyDescent="0.25">
      <c r="A159" s="38">
        <v>152</v>
      </c>
      <c r="B159" s="5" t="s">
        <v>220</v>
      </c>
      <c r="C159" s="6"/>
      <c r="D159" s="6"/>
      <c r="E159" s="6">
        <f t="shared" si="2"/>
        <v>199</v>
      </c>
      <c r="F159" s="6"/>
      <c r="G159" s="6"/>
      <c r="H159" s="6">
        <f>200-1</f>
        <v>199</v>
      </c>
      <c r="I159" s="6"/>
      <c r="J159" s="6"/>
      <c r="L159" s="14"/>
    </row>
    <row r="160" spans="1:12" ht="10.5" customHeight="1" x14ac:dyDescent="0.25">
      <c r="A160" s="38">
        <v>153</v>
      </c>
      <c r="B160" s="5" t="s">
        <v>121</v>
      </c>
      <c r="C160" s="6"/>
      <c r="D160" s="6"/>
      <c r="E160" s="6">
        <f t="shared" si="2"/>
        <v>200</v>
      </c>
      <c r="F160" s="6"/>
      <c r="G160" s="6"/>
      <c r="H160" s="6">
        <v>200</v>
      </c>
      <c r="I160" s="6"/>
      <c r="J160" s="6"/>
      <c r="L160" s="14"/>
    </row>
    <row r="161" spans="1:16" ht="10.5" customHeight="1" x14ac:dyDescent="0.25">
      <c r="A161" s="38">
        <v>154</v>
      </c>
      <c r="B161" s="5" t="s">
        <v>191</v>
      </c>
      <c r="C161" s="6"/>
      <c r="D161" s="6"/>
      <c r="E161" s="6">
        <f t="shared" si="2"/>
        <v>0</v>
      </c>
      <c r="F161" s="6"/>
      <c r="G161" s="6"/>
      <c r="H161" s="6">
        <f>200-200</f>
        <v>0</v>
      </c>
      <c r="I161" s="6"/>
      <c r="J161" s="6"/>
      <c r="L161" s="14"/>
    </row>
    <row r="162" spans="1:16" ht="10.5" customHeight="1" x14ac:dyDescent="0.25">
      <c r="A162" s="38">
        <v>155</v>
      </c>
      <c r="B162" s="5" t="s">
        <v>122</v>
      </c>
      <c r="C162" s="6"/>
      <c r="D162" s="6"/>
      <c r="E162" s="6">
        <f t="shared" si="2"/>
        <v>258</v>
      </c>
      <c r="F162" s="6"/>
      <c r="G162" s="6"/>
      <c r="H162" s="6"/>
      <c r="I162" s="6"/>
      <c r="J162" s="6">
        <f>120+102+36</f>
        <v>258</v>
      </c>
      <c r="L162" s="14"/>
    </row>
    <row r="163" spans="1:16" ht="10.5" customHeight="1" x14ac:dyDescent="0.25">
      <c r="A163" s="38">
        <v>156</v>
      </c>
      <c r="B163" s="15" t="s">
        <v>192</v>
      </c>
      <c r="C163" s="6"/>
      <c r="D163" s="6"/>
      <c r="E163" s="6">
        <f t="shared" si="2"/>
        <v>0</v>
      </c>
      <c r="F163" s="6"/>
      <c r="G163" s="6"/>
      <c r="H163" s="6">
        <f>200-200</f>
        <v>0</v>
      </c>
      <c r="I163" s="6"/>
      <c r="J163" s="6"/>
      <c r="L163" s="14"/>
    </row>
    <row r="164" spans="1:16" ht="10.5" customHeight="1" x14ac:dyDescent="0.25">
      <c r="A164" s="38">
        <v>157</v>
      </c>
      <c r="B164" s="15" t="s">
        <v>221</v>
      </c>
      <c r="C164" s="6"/>
      <c r="D164" s="6"/>
      <c r="E164" s="6">
        <f t="shared" si="2"/>
        <v>414</v>
      </c>
      <c r="F164" s="6"/>
      <c r="G164" s="6"/>
      <c r="H164" s="6"/>
      <c r="I164" s="6"/>
      <c r="J164" s="6">
        <f>342+3+69</f>
        <v>414</v>
      </c>
      <c r="L164" s="14"/>
    </row>
    <row r="165" spans="1:16" ht="10.5" customHeight="1" x14ac:dyDescent="0.25">
      <c r="A165" s="38">
        <v>158</v>
      </c>
      <c r="B165" s="15" t="s">
        <v>193</v>
      </c>
      <c r="C165" s="6">
        <f>500-14</f>
        <v>486</v>
      </c>
      <c r="D165" s="6"/>
      <c r="E165" s="6">
        <f t="shared" si="2"/>
        <v>900</v>
      </c>
      <c r="F165" s="6"/>
      <c r="G165" s="6"/>
      <c r="H165" s="6">
        <v>900</v>
      </c>
      <c r="I165" s="6"/>
      <c r="J165" s="6"/>
      <c r="L165" s="14"/>
    </row>
    <row r="166" spans="1:16" ht="10.5" customHeight="1" x14ac:dyDescent="0.25">
      <c r="A166" s="38">
        <v>159</v>
      </c>
      <c r="B166" s="5" t="s">
        <v>194</v>
      </c>
      <c r="C166" s="6">
        <v>500</v>
      </c>
      <c r="D166" s="6"/>
      <c r="E166" s="6">
        <f t="shared" si="2"/>
        <v>1004</v>
      </c>
      <c r="F166" s="6"/>
      <c r="G166" s="6"/>
      <c r="H166" s="6">
        <f>1000+4</f>
        <v>1004</v>
      </c>
      <c r="I166" s="6"/>
      <c r="J166" s="6"/>
      <c r="L166" s="14"/>
    </row>
    <row r="167" spans="1:16" ht="10.5" customHeight="1" x14ac:dyDescent="0.25">
      <c r="A167" s="38">
        <v>160</v>
      </c>
      <c r="B167" s="5" t="s">
        <v>123</v>
      </c>
      <c r="C167" s="6"/>
      <c r="D167" s="6"/>
      <c r="E167" s="6">
        <f t="shared" si="2"/>
        <v>108</v>
      </c>
      <c r="F167" s="6"/>
      <c r="G167" s="6"/>
      <c r="H167" s="6"/>
      <c r="I167" s="6"/>
      <c r="J167" s="6">
        <v>108</v>
      </c>
      <c r="L167" s="14"/>
    </row>
    <row r="168" spans="1:16" ht="10.5" customHeight="1" x14ac:dyDescent="0.25">
      <c r="A168" s="38">
        <v>161</v>
      </c>
      <c r="B168" s="5" t="s">
        <v>195</v>
      </c>
      <c r="C168" s="6"/>
      <c r="D168" s="6"/>
      <c r="E168" s="6">
        <f t="shared" si="2"/>
        <v>18129</v>
      </c>
      <c r="F168" s="6"/>
      <c r="G168" s="6"/>
      <c r="H168" s="6">
        <f>16242+135+356+156+216+505+340+190-11</f>
        <v>18129</v>
      </c>
      <c r="I168" s="6"/>
      <c r="J168" s="6"/>
      <c r="L168" s="14"/>
    </row>
    <row r="169" spans="1:16" ht="10.5" customHeight="1" x14ac:dyDescent="0.25">
      <c r="A169" s="38">
        <v>162</v>
      </c>
      <c r="B169" s="5" t="s">
        <v>92</v>
      </c>
      <c r="C169" s="6">
        <f>11775-7</f>
        <v>11768</v>
      </c>
      <c r="D169" s="6">
        <f>11775-7</f>
        <v>11768</v>
      </c>
      <c r="E169" s="6">
        <f t="shared" si="2"/>
        <v>26473</v>
      </c>
      <c r="F169" s="6"/>
      <c r="G169" s="6"/>
      <c r="H169" s="6">
        <f>26500-27</f>
        <v>26473</v>
      </c>
      <c r="I169" s="6"/>
      <c r="J169" s="6"/>
      <c r="L169" s="14"/>
    </row>
    <row r="170" spans="1:16" ht="10.5" customHeight="1" x14ac:dyDescent="0.25">
      <c r="A170" s="38">
        <v>163</v>
      </c>
      <c r="B170" s="5" t="s">
        <v>93</v>
      </c>
      <c r="C170" s="6"/>
      <c r="D170" s="6"/>
      <c r="E170" s="6">
        <f t="shared" si="2"/>
        <v>39923</v>
      </c>
      <c r="F170" s="6"/>
      <c r="G170" s="6"/>
      <c r="H170" s="6">
        <f>39778+145</f>
        <v>39923</v>
      </c>
      <c r="I170" s="6"/>
      <c r="J170" s="6"/>
      <c r="L170" s="14"/>
    </row>
    <row r="171" spans="1:16" ht="10.5" customHeight="1" x14ac:dyDescent="0.25">
      <c r="A171" s="38">
        <v>164</v>
      </c>
      <c r="B171" s="5" t="s">
        <v>124</v>
      </c>
      <c r="C171" s="6">
        <f>13000+125+78</f>
        <v>13203</v>
      </c>
      <c r="D171" s="6">
        <f>9924+125+78</f>
        <v>10127</v>
      </c>
      <c r="E171" s="6">
        <f t="shared" si="2"/>
        <v>183</v>
      </c>
      <c r="F171" s="6"/>
      <c r="G171" s="6"/>
      <c r="H171" s="6">
        <v>0</v>
      </c>
      <c r="I171" s="6"/>
      <c r="J171" s="6">
        <f>36+147</f>
        <v>183</v>
      </c>
      <c r="L171" s="14"/>
    </row>
    <row r="172" spans="1:16" ht="10.5" customHeight="1" x14ac:dyDescent="0.25">
      <c r="A172" s="38">
        <v>165</v>
      </c>
      <c r="B172" s="5" t="s">
        <v>6</v>
      </c>
      <c r="C172" s="6"/>
      <c r="D172" s="6"/>
      <c r="E172" s="6">
        <f t="shared" si="2"/>
        <v>33926</v>
      </c>
      <c r="F172" s="6"/>
      <c r="G172" s="6"/>
      <c r="H172" s="6">
        <f>38475-2300-1500-240-509</f>
        <v>33926</v>
      </c>
      <c r="I172" s="6"/>
      <c r="J172" s="6"/>
      <c r="L172" s="14"/>
    </row>
    <row r="173" spans="1:16" ht="10.5" customHeight="1" x14ac:dyDescent="0.25">
      <c r="A173" s="38">
        <v>166</v>
      </c>
      <c r="B173" s="5" t="s">
        <v>0</v>
      </c>
      <c r="C173" s="6">
        <f>30000+560+246+234</f>
        <v>31040</v>
      </c>
      <c r="D173" s="6"/>
      <c r="E173" s="6">
        <f t="shared" si="2"/>
        <v>0</v>
      </c>
      <c r="F173" s="6"/>
      <c r="G173" s="6"/>
      <c r="H173" s="6"/>
      <c r="I173" s="6"/>
      <c r="J173" s="6"/>
      <c r="L173" s="14"/>
    </row>
    <row r="174" spans="1:16" ht="10.5" customHeight="1" x14ac:dyDescent="0.25">
      <c r="A174" s="38">
        <v>167</v>
      </c>
      <c r="B174" s="5" t="s">
        <v>127</v>
      </c>
      <c r="C174" s="6">
        <f>44380+302+246+184</f>
        <v>45112</v>
      </c>
      <c r="D174" s="6">
        <f>33620-9620+302+184</f>
        <v>24486</v>
      </c>
      <c r="E174" s="6">
        <f t="shared" si="2"/>
        <v>64863</v>
      </c>
      <c r="F174" s="6">
        <f>14337+250+12</f>
        <v>14599</v>
      </c>
      <c r="G174" s="6">
        <v>50264</v>
      </c>
      <c r="H174" s="6"/>
      <c r="I174" s="6"/>
      <c r="J174" s="6"/>
      <c r="L174" s="14"/>
    </row>
    <row r="175" spans="1:16" s="10" customFormat="1" ht="44.25" customHeight="1" x14ac:dyDescent="0.25">
      <c r="A175" s="38">
        <v>168</v>
      </c>
      <c r="B175" s="11" t="s">
        <v>128</v>
      </c>
      <c r="C175" s="9">
        <f>32602+199</f>
        <v>32801</v>
      </c>
      <c r="D175" s="6"/>
      <c r="E175" s="6">
        <f t="shared" si="2"/>
        <v>129347</v>
      </c>
      <c r="F175" s="9">
        <f>26260+24</f>
        <v>26284</v>
      </c>
      <c r="G175" s="9">
        <v>103063</v>
      </c>
      <c r="H175" s="9"/>
      <c r="I175" s="9"/>
      <c r="J175" s="9"/>
      <c r="K175" s="1"/>
      <c r="L175" s="14"/>
      <c r="M175" s="1"/>
      <c r="N175" s="1"/>
      <c r="O175" s="1"/>
      <c r="P175" s="1"/>
    </row>
    <row r="176" spans="1:16" ht="10.5" customHeight="1" x14ac:dyDescent="0.25">
      <c r="A176" s="38">
        <v>169</v>
      </c>
      <c r="B176" s="5" t="s">
        <v>94</v>
      </c>
      <c r="C176" s="6">
        <f>4000+100</f>
        <v>4100</v>
      </c>
      <c r="D176" s="6"/>
      <c r="E176" s="6">
        <f t="shared" si="2"/>
        <v>0</v>
      </c>
      <c r="F176" s="6"/>
      <c r="G176" s="6"/>
      <c r="H176" s="6"/>
      <c r="I176" s="6"/>
      <c r="J176" s="6"/>
      <c r="K176" s="10"/>
      <c r="L176" s="14"/>
      <c r="M176" s="10"/>
      <c r="N176" s="10"/>
      <c r="O176" s="10"/>
      <c r="P176" s="10"/>
    </row>
    <row r="177" spans="1:16" ht="10.5" customHeight="1" x14ac:dyDescent="0.25">
      <c r="A177" s="38">
        <v>170</v>
      </c>
      <c r="B177" s="5" t="s">
        <v>95</v>
      </c>
      <c r="C177" s="6"/>
      <c r="D177" s="6"/>
      <c r="E177" s="6">
        <f t="shared" si="2"/>
        <v>1005</v>
      </c>
      <c r="F177" s="6"/>
      <c r="G177" s="6"/>
      <c r="H177" s="6">
        <f>1000+5</f>
        <v>1005</v>
      </c>
      <c r="I177" s="6"/>
      <c r="J177" s="6"/>
      <c r="L177" s="14"/>
    </row>
    <row r="178" spans="1:16" ht="10.5" customHeight="1" x14ac:dyDescent="0.25">
      <c r="A178" s="38">
        <v>171</v>
      </c>
      <c r="B178" s="16" t="s">
        <v>91</v>
      </c>
      <c r="C178" s="6"/>
      <c r="D178" s="6"/>
      <c r="E178" s="6">
        <f t="shared" si="2"/>
        <v>120</v>
      </c>
      <c r="F178" s="6"/>
      <c r="G178" s="6"/>
      <c r="H178" s="6"/>
      <c r="I178" s="6">
        <v>120</v>
      </c>
      <c r="J178" s="6"/>
      <c r="L178" s="14"/>
    </row>
    <row r="179" spans="1:16" ht="10.5" customHeight="1" x14ac:dyDescent="0.25">
      <c r="A179" s="17"/>
      <c r="B179" s="5" t="s">
        <v>96</v>
      </c>
      <c r="C179" s="6">
        <f>9204-500</f>
        <v>8704</v>
      </c>
      <c r="D179" s="6"/>
      <c r="E179" s="6">
        <f>16015+6266+1950</f>
        <v>24231</v>
      </c>
      <c r="F179" s="6"/>
      <c r="G179" s="6"/>
      <c r="H179" s="6">
        <v>1700</v>
      </c>
      <c r="I179" s="6"/>
      <c r="J179" s="6">
        <v>250</v>
      </c>
      <c r="L179" s="14"/>
    </row>
    <row r="180" spans="1:16" s="21" customFormat="1" ht="10.5" customHeight="1" x14ac:dyDescent="0.25">
      <c r="A180" s="18"/>
      <c r="B180" s="19" t="s">
        <v>4</v>
      </c>
      <c r="C180" s="20">
        <f>SUM(C8:C177)+C179</f>
        <v>2273489</v>
      </c>
      <c r="D180" s="20">
        <f>D65+D101+D102+D124+D125+D128+D169+D171+D174</f>
        <v>136101</v>
      </c>
      <c r="E180" s="20">
        <f>SUM(E8:E177)+E179+E178</f>
        <v>8038408</v>
      </c>
      <c r="F180" s="20">
        <f t="shared" ref="F180:J180" si="3">SUM(F8:F177)+F179+F178</f>
        <v>1775814</v>
      </c>
      <c r="G180" s="20">
        <f t="shared" si="3"/>
        <v>5569286</v>
      </c>
      <c r="H180" s="20">
        <f t="shared" si="3"/>
        <v>589041</v>
      </c>
      <c r="I180" s="20">
        <f t="shared" si="3"/>
        <v>79090</v>
      </c>
      <c r="J180" s="20">
        <f t="shared" si="3"/>
        <v>2896</v>
      </c>
      <c r="K180" s="1"/>
      <c r="L180" s="14"/>
      <c r="M180" s="1"/>
      <c r="N180" s="1"/>
      <c r="O180" s="1"/>
      <c r="P180" s="1"/>
    </row>
    <row r="181" spans="1:16" x14ac:dyDescent="0.25">
      <c r="C181" s="23"/>
      <c r="D181" s="23"/>
      <c r="E181" s="23"/>
      <c r="F181" s="23"/>
      <c r="G181" s="23"/>
      <c r="H181" s="23"/>
      <c r="I181" s="23"/>
      <c r="J181" s="23"/>
      <c r="K181" s="21"/>
      <c r="L181" s="21"/>
      <c r="M181" s="21"/>
      <c r="N181" s="21"/>
      <c r="O181" s="21"/>
      <c r="P181" s="21"/>
    </row>
    <row r="182" spans="1:16" x14ac:dyDescent="0.25">
      <c r="C182" s="24"/>
      <c r="D182" s="24"/>
      <c r="E182" s="24"/>
      <c r="F182" s="24"/>
      <c r="G182" s="24"/>
      <c r="H182" s="24"/>
      <c r="I182" s="24"/>
      <c r="J182" s="24"/>
    </row>
    <row r="183" spans="1:16" x14ac:dyDescent="0.25">
      <c r="C183" s="14"/>
      <c r="D183" s="14"/>
      <c r="E183" s="14"/>
      <c r="G183" s="14"/>
      <c r="H183" s="14"/>
      <c r="I183" s="14"/>
      <c r="J183" s="14"/>
    </row>
    <row r="184" spans="1:16" ht="15.75" x14ac:dyDescent="0.25">
      <c r="B184" s="25"/>
    </row>
  </sheetData>
  <mergeCells count="12">
    <mergeCell ref="I5:I6"/>
    <mergeCell ref="J5:J6"/>
    <mergeCell ref="A1:J2"/>
    <mergeCell ref="A3:A6"/>
    <mergeCell ref="B3:B6"/>
    <mergeCell ref="C3:C6"/>
    <mergeCell ref="D3:D6"/>
    <mergeCell ref="E3:J3"/>
    <mergeCell ref="E4:E6"/>
    <mergeCell ref="F4:J4"/>
    <mergeCell ref="F5:G5"/>
    <mergeCell ref="H5:H6"/>
  </mergeCells>
  <pageMargins left="0.51181102362204722" right="0" top="0" bottom="0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26.5703125" style="1" customWidth="1"/>
    <col min="2" max="2" width="8" style="1" customWidth="1"/>
    <col min="3" max="3" width="10.28515625" style="1" customWidth="1"/>
    <col min="4" max="4" width="10.85546875" style="1" customWidth="1"/>
    <col min="5" max="5" width="11.85546875" style="1" customWidth="1"/>
    <col min="6" max="6" width="11.5703125" style="1" customWidth="1"/>
    <col min="7" max="7" width="10.140625" style="1" customWidth="1"/>
    <col min="8" max="8" width="10.5703125" style="1" customWidth="1"/>
    <col min="9" max="9" width="12" style="1" customWidth="1"/>
    <col min="10" max="10" width="11.85546875" style="1" customWidth="1"/>
    <col min="11" max="11" width="10.42578125" style="1" customWidth="1"/>
    <col min="12" max="12" width="11" style="1" customWidth="1"/>
    <col min="13" max="13" width="11.85546875" style="1" customWidth="1"/>
    <col min="14" max="16384" width="9.140625" style="1"/>
  </cols>
  <sheetData>
    <row r="1" spans="1:14" s="39" customFormat="1" ht="18.75" x14ac:dyDescent="0.3">
      <c r="A1" s="169" t="s">
        <v>222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4" s="41" customFormat="1" ht="12.75" x14ac:dyDescent="0.2">
      <c r="A2" s="40"/>
      <c r="B2" s="40"/>
      <c r="C2" s="40"/>
      <c r="D2" s="40"/>
      <c r="E2" s="40"/>
      <c r="F2" s="40"/>
      <c r="G2" s="40"/>
      <c r="H2" s="40"/>
      <c r="M2" s="41" t="s">
        <v>223</v>
      </c>
    </row>
    <row r="3" spans="1:14" s="22" customFormat="1" ht="12" x14ac:dyDescent="0.2">
      <c r="A3" s="183" t="s">
        <v>11</v>
      </c>
      <c r="B3" s="186" t="s">
        <v>5</v>
      </c>
      <c r="C3" s="187"/>
      <c r="D3" s="187"/>
      <c r="E3" s="187"/>
      <c r="F3" s="188"/>
      <c r="G3" s="189" t="s">
        <v>224</v>
      </c>
      <c r="H3" s="190"/>
      <c r="I3" s="190"/>
      <c r="J3" s="191"/>
      <c r="K3" s="192" t="s">
        <v>225</v>
      </c>
      <c r="L3" s="192"/>
      <c r="M3" s="192"/>
    </row>
    <row r="4" spans="1:14" s="22" customFormat="1" ht="12" x14ac:dyDescent="0.2">
      <c r="A4" s="183"/>
      <c r="B4" s="193" t="s">
        <v>226</v>
      </c>
      <c r="C4" s="194"/>
      <c r="D4" s="194"/>
      <c r="E4" s="195"/>
      <c r="F4" s="183" t="s">
        <v>227</v>
      </c>
      <c r="G4" s="196" t="s">
        <v>226</v>
      </c>
      <c r="H4" s="196"/>
      <c r="I4" s="196"/>
      <c r="J4" s="183" t="s">
        <v>227</v>
      </c>
      <c r="K4" s="196" t="s">
        <v>226</v>
      </c>
      <c r="L4" s="196"/>
      <c r="M4" s="183" t="s">
        <v>227</v>
      </c>
    </row>
    <row r="5" spans="1:14" s="22" customFormat="1" ht="12" x14ac:dyDescent="0.2">
      <c r="A5" s="183"/>
      <c r="B5" s="197" t="s">
        <v>5</v>
      </c>
      <c r="C5" s="196" t="s">
        <v>13</v>
      </c>
      <c r="D5" s="196"/>
      <c r="E5" s="196"/>
      <c r="F5" s="183"/>
      <c r="G5" s="183" t="s">
        <v>228</v>
      </c>
      <c r="H5" s="184" t="s">
        <v>229</v>
      </c>
      <c r="I5" s="184" t="s">
        <v>230</v>
      </c>
      <c r="J5" s="183"/>
      <c r="K5" s="183" t="s">
        <v>228</v>
      </c>
      <c r="L5" s="183" t="s">
        <v>229</v>
      </c>
      <c r="M5" s="183"/>
    </row>
    <row r="6" spans="1:14" s="22" customFormat="1" ht="48" x14ac:dyDescent="0.2">
      <c r="A6" s="183"/>
      <c r="B6" s="198"/>
      <c r="C6" s="42" t="s">
        <v>228</v>
      </c>
      <c r="D6" s="42" t="s">
        <v>229</v>
      </c>
      <c r="E6" s="42" t="s">
        <v>230</v>
      </c>
      <c r="F6" s="183"/>
      <c r="G6" s="183"/>
      <c r="H6" s="185"/>
      <c r="I6" s="185"/>
      <c r="J6" s="183"/>
      <c r="K6" s="183"/>
      <c r="L6" s="183"/>
      <c r="M6" s="183"/>
    </row>
    <row r="7" spans="1:14" s="41" customFormat="1" ht="12.75" x14ac:dyDescent="0.2">
      <c r="A7" s="43" t="s">
        <v>20</v>
      </c>
      <c r="B7" s="44">
        <f>C7+D7+E7</f>
        <v>20224</v>
      </c>
      <c r="C7" s="44">
        <f>G7+K7</f>
        <v>7573</v>
      </c>
      <c r="D7" s="44">
        <f>H7+L7</f>
        <v>7574</v>
      </c>
      <c r="E7" s="44">
        <f>I7</f>
        <v>5077</v>
      </c>
      <c r="F7" s="44">
        <f>J7+M7</f>
        <v>5059</v>
      </c>
      <c r="G7" s="44">
        <f>5083-4</f>
        <v>5079</v>
      </c>
      <c r="H7" s="44">
        <f>5083-5</f>
        <v>5078</v>
      </c>
      <c r="I7" s="44">
        <f>5083-6</f>
        <v>5077</v>
      </c>
      <c r="J7" s="44">
        <f>3813-3</f>
        <v>3810</v>
      </c>
      <c r="K7" s="44">
        <f>2496-2</f>
        <v>2494</v>
      </c>
      <c r="L7" s="44">
        <v>2496</v>
      </c>
      <c r="M7" s="44">
        <v>1249</v>
      </c>
      <c r="N7" s="45"/>
    </row>
    <row r="8" spans="1:14" s="41" customFormat="1" ht="12.75" x14ac:dyDescent="0.2">
      <c r="A8" s="43" t="s">
        <v>25</v>
      </c>
      <c r="B8" s="44">
        <f t="shared" ref="B8:B28" si="0">C8+D8+E8</f>
        <v>14016</v>
      </c>
      <c r="C8" s="44">
        <f t="shared" ref="C8:D28" si="1">G8+K8</f>
        <v>4672</v>
      </c>
      <c r="D8" s="44">
        <f t="shared" si="1"/>
        <v>4672</v>
      </c>
      <c r="E8" s="44">
        <f t="shared" ref="E8:E28" si="2">I8</f>
        <v>4672</v>
      </c>
      <c r="F8" s="44">
        <f t="shared" ref="F8:F28" si="3">J8+M8</f>
        <v>3488</v>
      </c>
      <c r="G8" s="44">
        <f>4676-4</f>
        <v>4672</v>
      </c>
      <c r="H8" s="44">
        <f>4676-4</f>
        <v>4672</v>
      </c>
      <c r="I8" s="44">
        <f>4676-4</f>
        <v>4672</v>
      </c>
      <c r="J8" s="44">
        <f>3507-19</f>
        <v>3488</v>
      </c>
      <c r="K8" s="44"/>
      <c r="L8" s="44"/>
      <c r="M8" s="44"/>
      <c r="N8" s="45"/>
    </row>
    <row r="9" spans="1:14" s="41" customFormat="1" ht="12.75" x14ac:dyDescent="0.2">
      <c r="A9" s="43" t="s">
        <v>26</v>
      </c>
      <c r="B9" s="44">
        <f>C9+D9+E9</f>
        <v>12236</v>
      </c>
      <c r="C9" s="44">
        <f t="shared" si="1"/>
        <v>4513</v>
      </c>
      <c r="D9" s="44">
        <f t="shared" si="1"/>
        <v>4513</v>
      </c>
      <c r="E9" s="44">
        <f>I9</f>
        <v>3210</v>
      </c>
      <c r="F9" s="44">
        <f>J9+M9</f>
        <v>3071</v>
      </c>
      <c r="G9" s="44">
        <f>3217-17</f>
        <v>3200</v>
      </c>
      <c r="H9" s="44">
        <f>3217-11</f>
        <v>3206</v>
      </c>
      <c r="I9" s="44">
        <f>3217-7</f>
        <v>3210</v>
      </c>
      <c r="J9" s="44">
        <f>2412-4</f>
        <v>2408</v>
      </c>
      <c r="K9" s="44">
        <f>1326-13</f>
        <v>1313</v>
      </c>
      <c r="L9" s="44">
        <f>1326-19</f>
        <v>1307</v>
      </c>
      <c r="M9" s="44">
        <v>663</v>
      </c>
      <c r="N9" s="45"/>
    </row>
    <row r="10" spans="1:14" s="41" customFormat="1" ht="12.75" x14ac:dyDescent="0.2">
      <c r="A10" s="43" t="s">
        <v>50</v>
      </c>
      <c r="B10" s="44">
        <f>C10+D10+E10</f>
        <v>6833</v>
      </c>
      <c r="C10" s="44">
        <f t="shared" si="1"/>
        <v>2510</v>
      </c>
      <c r="D10" s="44">
        <f t="shared" si="1"/>
        <v>2514</v>
      </c>
      <c r="E10" s="44">
        <f>I10</f>
        <v>1809</v>
      </c>
      <c r="F10" s="44">
        <f>J10+M10</f>
        <v>1733</v>
      </c>
      <c r="G10" s="44">
        <f>1833-26</f>
        <v>1807</v>
      </c>
      <c r="H10" s="44">
        <f>1833-29</f>
        <v>1804</v>
      </c>
      <c r="I10" s="44">
        <f>1833-24</f>
        <v>1809</v>
      </c>
      <c r="J10" s="44">
        <f>1375-6</f>
        <v>1369</v>
      </c>
      <c r="K10" s="44">
        <f>775-72</f>
        <v>703</v>
      </c>
      <c r="L10" s="44">
        <f>775-65</f>
        <v>710</v>
      </c>
      <c r="M10" s="44">
        <f>386-22</f>
        <v>364</v>
      </c>
      <c r="N10" s="45"/>
    </row>
    <row r="11" spans="1:14" s="41" customFormat="1" ht="12.75" x14ac:dyDescent="0.2">
      <c r="A11" s="43" t="s">
        <v>231</v>
      </c>
      <c r="B11" s="44">
        <f>C11+D11+E11</f>
        <v>11942</v>
      </c>
      <c r="C11" s="44">
        <f t="shared" si="1"/>
        <v>4420</v>
      </c>
      <c r="D11" s="44">
        <f t="shared" si="1"/>
        <v>4430</v>
      </c>
      <c r="E11" s="44">
        <f>I11</f>
        <v>3092</v>
      </c>
      <c r="F11" s="44">
        <f>J11+M11</f>
        <v>2991</v>
      </c>
      <c r="G11" s="44">
        <f>3096-16</f>
        <v>3080</v>
      </c>
      <c r="H11" s="44">
        <f>3096-4</f>
        <v>3092</v>
      </c>
      <c r="I11" s="44">
        <f>3096-4</f>
        <v>3092</v>
      </c>
      <c r="J11" s="44">
        <f>2322-2</f>
        <v>2320</v>
      </c>
      <c r="K11" s="44">
        <f>1345-5</f>
        <v>1340</v>
      </c>
      <c r="L11" s="44">
        <f>1345-7</f>
        <v>1338</v>
      </c>
      <c r="M11" s="44">
        <f>673-2</f>
        <v>671</v>
      </c>
      <c r="N11" s="45"/>
    </row>
    <row r="12" spans="1:14" s="41" customFormat="1" ht="12.75" x14ac:dyDescent="0.2">
      <c r="A12" s="43" t="s">
        <v>1</v>
      </c>
      <c r="B12" s="44">
        <f t="shared" si="0"/>
        <v>9123</v>
      </c>
      <c r="C12" s="44">
        <f t="shared" si="1"/>
        <v>3426</v>
      </c>
      <c r="D12" s="44">
        <f t="shared" si="1"/>
        <v>3431</v>
      </c>
      <c r="E12" s="44">
        <f t="shared" si="2"/>
        <v>2266</v>
      </c>
      <c r="F12" s="44">
        <f t="shared" si="3"/>
        <v>2335</v>
      </c>
      <c r="G12" s="44">
        <f>2348-79</f>
        <v>2269</v>
      </c>
      <c r="H12" s="44">
        <f>2348-74</f>
        <v>2274</v>
      </c>
      <c r="I12" s="44">
        <f>2348-82</f>
        <v>2266</v>
      </c>
      <c r="J12" s="44">
        <f>1761-3</f>
        <v>1758</v>
      </c>
      <c r="K12" s="44">
        <f>1163-6</f>
        <v>1157</v>
      </c>
      <c r="L12" s="44">
        <f>1163-6</f>
        <v>1157</v>
      </c>
      <c r="M12" s="44">
        <f>580-3</f>
        <v>577</v>
      </c>
      <c r="N12" s="45"/>
    </row>
    <row r="13" spans="1:14" s="41" customFormat="1" ht="12.75" x14ac:dyDescent="0.2">
      <c r="A13" s="43" t="s">
        <v>99</v>
      </c>
      <c r="B13" s="44">
        <f t="shared" si="0"/>
        <v>22422</v>
      </c>
      <c r="C13" s="44">
        <f t="shared" si="1"/>
        <v>8304</v>
      </c>
      <c r="D13" s="44">
        <f t="shared" si="1"/>
        <v>8304</v>
      </c>
      <c r="E13" s="44">
        <f t="shared" si="2"/>
        <v>5814</v>
      </c>
      <c r="F13" s="44">
        <f t="shared" si="3"/>
        <v>5607</v>
      </c>
      <c r="G13" s="44">
        <f>5818-4</f>
        <v>5814</v>
      </c>
      <c r="H13" s="44">
        <f>5818-4</f>
        <v>5814</v>
      </c>
      <c r="I13" s="44">
        <f>5818-4</f>
        <v>5814</v>
      </c>
      <c r="J13" s="44">
        <v>4363</v>
      </c>
      <c r="K13" s="44">
        <f>2491-1</f>
        <v>2490</v>
      </c>
      <c r="L13" s="44">
        <f>2491-1</f>
        <v>2490</v>
      </c>
      <c r="M13" s="44">
        <f>1245-1</f>
        <v>1244</v>
      </c>
      <c r="N13" s="45"/>
    </row>
    <row r="14" spans="1:14" s="41" customFormat="1" ht="12.75" x14ac:dyDescent="0.2">
      <c r="A14" s="43" t="s">
        <v>232</v>
      </c>
      <c r="B14" s="44">
        <f t="shared" si="0"/>
        <v>19251</v>
      </c>
      <c r="C14" s="44">
        <f t="shared" si="1"/>
        <v>7087</v>
      </c>
      <c r="D14" s="44">
        <f t="shared" si="1"/>
        <v>7087</v>
      </c>
      <c r="E14" s="44">
        <f t="shared" si="2"/>
        <v>5077</v>
      </c>
      <c r="F14" s="44">
        <f t="shared" si="3"/>
        <v>4810</v>
      </c>
      <c r="G14" s="44">
        <f>5081-4</f>
        <v>5077</v>
      </c>
      <c r="H14" s="44">
        <f>5081-4</f>
        <v>5077</v>
      </c>
      <c r="I14" s="44">
        <f>5081-4</f>
        <v>5077</v>
      </c>
      <c r="J14" s="44">
        <f>3813-8</f>
        <v>3805</v>
      </c>
      <c r="K14" s="44">
        <f>2015-5</f>
        <v>2010</v>
      </c>
      <c r="L14" s="44">
        <f>2015-5</f>
        <v>2010</v>
      </c>
      <c r="M14" s="44">
        <f>1007-2</f>
        <v>1005</v>
      </c>
      <c r="N14" s="45"/>
    </row>
    <row r="15" spans="1:14" s="41" customFormat="1" ht="12.75" x14ac:dyDescent="0.2">
      <c r="A15" s="43" t="s">
        <v>233</v>
      </c>
      <c r="B15" s="44">
        <f t="shared" si="0"/>
        <v>12901</v>
      </c>
      <c r="C15" s="44">
        <f t="shared" si="1"/>
        <v>4810</v>
      </c>
      <c r="D15" s="44">
        <f t="shared" si="1"/>
        <v>4803</v>
      </c>
      <c r="E15" s="44">
        <f t="shared" si="2"/>
        <v>3288</v>
      </c>
      <c r="F15" s="44">
        <f t="shared" si="3"/>
        <v>3745</v>
      </c>
      <c r="G15" s="44">
        <f>3298-4</f>
        <v>3294</v>
      </c>
      <c r="H15" s="44">
        <f>3298-10</f>
        <v>3288</v>
      </c>
      <c r="I15" s="44">
        <f>3298-10</f>
        <v>3288</v>
      </c>
      <c r="J15" s="44">
        <f>2473-26</f>
        <v>2447</v>
      </c>
      <c r="K15" s="44">
        <f>1517-1</f>
        <v>1516</v>
      </c>
      <c r="L15" s="44">
        <f>1517-2</f>
        <v>1515</v>
      </c>
      <c r="M15" s="44">
        <f>1300-2</f>
        <v>1298</v>
      </c>
      <c r="N15" s="45"/>
    </row>
    <row r="16" spans="1:14" s="41" customFormat="1" ht="25.5" x14ac:dyDescent="0.2">
      <c r="A16" s="46" t="s">
        <v>234</v>
      </c>
      <c r="B16" s="44">
        <f t="shared" si="0"/>
        <v>28770</v>
      </c>
      <c r="C16" s="44">
        <f t="shared" si="1"/>
        <v>9591</v>
      </c>
      <c r="D16" s="44">
        <f t="shared" si="1"/>
        <v>9589</v>
      </c>
      <c r="E16" s="44">
        <f t="shared" si="2"/>
        <v>9590</v>
      </c>
      <c r="F16" s="44">
        <f t="shared" si="3"/>
        <v>7194</v>
      </c>
      <c r="G16" s="44">
        <f>9593-2</f>
        <v>9591</v>
      </c>
      <c r="H16" s="44">
        <f>9593-4</f>
        <v>9589</v>
      </c>
      <c r="I16" s="44">
        <f>9593-3</f>
        <v>9590</v>
      </c>
      <c r="J16" s="44">
        <f>7195-1</f>
        <v>7194</v>
      </c>
      <c r="K16" s="44"/>
      <c r="L16" s="44"/>
      <c r="M16" s="44"/>
      <c r="N16" s="45"/>
    </row>
    <row r="17" spans="1:14" s="41" customFormat="1" ht="12.75" x14ac:dyDescent="0.2">
      <c r="A17" s="43" t="s">
        <v>235</v>
      </c>
      <c r="B17" s="44">
        <f t="shared" si="0"/>
        <v>8342</v>
      </c>
      <c r="C17" s="44">
        <f t="shared" si="1"/>
        <v>4169</v>
      </c>
      <c r="D17" s="44">
        <f t="shared" si="1"/>
        <v>4173</v>
      </c>
      <c r="E17" s="44">
        <f t="shared" si="2"/>
        <v>0</v>
      </c>
      <c r="F17" s="44">
        <f t="shared" si="3"/>
        <v>2087</v>
      </c>
      <c r="G17" s="44"/>
      <c r="H17" s="44"/>
      <c r="I17" s="44"/>
      <c r="J17" s="44"/>
      <c r="K17" s="44">
        <f>4181-12</f>
        <v>4169</v>
      </c>
      <c r="L17" s="44">
        <f>4181-8</f>
        <v>4173</v>
      </c>
      <c r="M17" s="44">
        <f>2091-4</f>
        <v>2087</v>
      </c>
      <c r="N17" s="45"/>
    </row>
    <row r="18" spans="1:14" s="41" customFormat="1" ht="12.75" x14ac:dyDescent="0.2">
      <c r="A18" s="43" t="s">
        <v>236</v>
      </c>
      <c r="B18" s="44">
        <f t="shared" si="0"/>
        <v>31099</v>
      </c>
      <c r="C18" s="44">
        <f t="shared" si="1"/>
        <v>10974</v>
      </c>
      <c r="D18" s="44">
        <f t="shared" si="1"/>
        <v>10942</v>
      </c>
      <c r="E18" s="44">
        <f t="shared" si="2"/>
        <v>9183</v>
      </c>
      <c r="F18" s="44">
        <f t="shared" si="3"/>
        <v>7827</v>
      </c>
      <c r="G18" s="44">
        <f>9277-107</f>
        <v>9170</v>
      </c>
      <c r="H18" s="44">
        <f>9277-77</f>
        <v>9200</v>
      </c>
      <c r="I18" s="44">
        <f>9277-94</f>
        <v>9183</v>
      </c>
      <c r="J18" s="44">
        <f>6958-39</f>
        <v>6919</v>
      </c>
      <c r="K18" s="44">
        <f>1835-31</f>
        <v>1804</v>
      </c>
      <c r="L18" s="44">
        <f>1835-93</f>
        <v>1742</v>
      </c>
      <c r="M18" s="44">
        <f>918-10</f>
        <v>908</v>
      </c>
      <c r="N18" s="45"/>
    </row>
    <row r="19" spans="1:14" s="41" customFormat="1" ht="12.75" x14ac:dyDescent="0.2">
      <c r="A19" s="43" t="s">
        <v>64</v>
      </c>
      <c r="B19" s="44">
        <f t="shared" si="0"/>
        <v>4684</v>
      </c>
      <c r="C19" s="44">
        <f t="shared" si="1"/>
        <v>2339</v>
      </c>
      <c r="D19" s="44">
        <f t="shared" si="1"/>
        <v>2345</v>
      </c>
      <c r="E19" s="44">
        <f t="shared" si="2"/>
        <v>0</v>
      </c>
      <c r="F19" s="44">
        <f t="shared" si="3"/>
        <v>470</v>
      </c>
      <c r="G19" s="44"/>
      <c r="H19" s="44"/>
      <c r="I19" s="44"/>
      <c r="J19" s="44"/>
      <c r="K19" s="44">
        <f>2347-8</f>
        <v>2339</v>
      </c>
      <c r="L19" s="44">
        <f>2347-2</f>
        <v>2345</v>
      </c>
      <c r="M19" s="44">
        <f>475-5</f>
        <v>470</v>
      </c>
      <c r="N19" s="45"/>
    </row>
    <row r="20" spans="1:14" s="41" customFormat="1" ht="25.5" x14ac:dyDescent="0.2">
      <c r="A20" s="46" t="s">
        <v>237</v>
      </c>
      <c r="B20" s="44">
        <f>C20+D20+E20</f>
        <v>11368</v>
      </c>
      <c r="C20" s="44">
        <f>G20+K20</f>
        <v>5684</v>
      </c>
      <c r="D20" s="44">
        <f>H20+L20</f>
        <v>5684</v>
      </c>
      <c r="E20" s="44">
        <f>I20</f>
        <v>0</v>
      </c>
      <c r="F20" s="44">
        <f>J20+M20</f>
        <v>2839</v>
      </c>
      <c r="G20" s="44"/>
      <c r="H20" s="44"/>
      <c r="I20" s="44"/>
      <c r="J20" s="44"/>
      <c r="K20" s="44">
        <f>5688-4</f>
        <v>5684</v>
      </c>
      <c r="L20" s="44">
        <f>5688-4</f>
        <v>5684</v>
      </c>
      <c r="M20" s="44">
        <f>2844-5</f>
        <v>2839</v>
      </c>
      <c r="N20" s="45"/>
    </row>
    <row r="21" spans="1:14" s="41" customFormat="1" ht="25.5" x14ac:dyDescent="0.2">
      <c r="A21" s="46" t="s">
        <v>238</v>
      </c>
      <c r="B21" s="44">
        <f t="shared" si="0"/>
        <v>13119</v>
      </c>
      <c r="C21" s="44">
        <f t="shared" si="1"/>
        <v>4646</v>
      </c>
      <c r="D21" s="44">
        <f t="shared" si="1"/>
        <v>3850</v>
      </c>
      <c r="E21" s="44">
        <f t="shared" si="2"/>
        <v>4623</v>
      </c>
      <c r="F21" s="44">
        <f t="shared" si="3"/>
        <v>3481</v>
      </c>
      <c r="G21" s="44">
        <f>4649-3</f>
        <v>4646</v>
      </c>
      <c r="H21" s="44">
        <f>4649-793-6</f>
        <v>3850</v>
      </c>
      <c r="I21" s="44">
        <f>4649-26</f>
        <v>4623</v>
      </c>
      <c r="J21" s="44">
        <f>3486-5</f>
        <v>3481</v>
      </c>
      <c r="K21" s="44"/>
      <c r="L21" s="44"/>
      <c r="M21" s="44"/>
      <c r="N21" s="45"/>
    </row>
    <row r="22" spans="1:14" s="41" customFormat="1" ht="25.5" x14ac:dyDescent="0.2">
      <c r="A22" s="46" t="s">
        <v>239</v>
      </c>
      <c r="B22" s="44">
        <f t="shared" si="0"/>
        <v>20891</v>
      </c>
      <c r="C22" s="44">
        <f t="shared" si="1"/>
        <v>6963</v>
      </c>
      <c r="D22" s="44">
        <f t="shared" si="1"/>
        <v>6963</v>
      </c>
      <c r="E22" s="44">
        <f t="shared" si="2"/>
        <v>6965</v>
      </c>
      <c r="F22" s="44">
        <f t="shared" si="3"/>
        <v>5224</v>
      </c>
      <c r="G22" s="44">
        <f>6968-5</f>
        <v>6963</v>
      </c>
      <c r="H22" s="44">
        <f>6968-5</f>
        <v>6963</v>
      </c>
      <c r="I22" s="44">
        <f>6968-3</f>
        <v>6965</v>
      </c>
      <c r="J22" s="44">
        <f>5225-1</f>
        <v>5224</v>
      </c>
      <c r="K22" s="44"/>
      <c r="L22" s="44"/>
      <c r="M22" s="44"/>
      <c r="N22" s="45"/>
    </row>
    <row r="23" spans="1:14" s="41" customFormat="1" ht="25.5" x14ac:dyDescent="0.2">
      <c r="A23" s="46" t="s">
        <v>240</v>
      </c>
      <c r="B23" s="44">
        <f t="shared" si="0"/>
        <v>13684</v>
      </c>
      <c r="C23" s="44">
        <f t="shared" si="1"/>
        <v>4563</v>
      </c>
      <c r="D23" s="44">
        <f t="shared" si="1"/>
        <v>4559</v>
      </c>
      <c r="E23" s="44">
        <f t="shared" si="2"/>
        <v>4562</v>
      </c>
      <c r="F23" s="44">
        <f t="shared" si="3"/>
        <v>3425</v>
      </c>
      <c r="G23" s="44">
        <f>4569-6</f>
        <v>4563</v>
      </c>
      <c r="H23" s="44">
        <f>4569-10</f>
        <v>4559</v>
      </c>
      <c r="I23" s="44">
        <f>4569-7</f>
        <v>4562</v>
      </c>
      <c r="J23" s="44">
        <f>3428-3</f>
        <v>3425</v>
      </c>
      <c r="K23" s="44"/>
      <c r="L23" s="44"/>
      <c r="M23" s="44"/>
      <c r="N23" s="45"/>
    </row>
    <row r="24" spans="1:14" s="41" customFormat="1" ht="25.5" x14ac:dyDescent="0.2">
      <c r="A24" s="46" t="s">
        <v>241</v>
      </c>
      <c r="B24" s="44">
        <f>C24+D24+E24</f>
        <v>11366</v>
      </c>
      <c r="C24" s="44">
        <f>G24+K24</f>
        <v>4182</v>
      </c>
      <c r="D24" s="44">
        <f>H24+L24</f>
        <v>3591</v>
      </c>
      <c r="E24" s="44">
        <f>I24</f>
        <v>3593</v>
      </c>
      <c r="F24" s="44">
        <f>J24+M24</f>
        <v>2894</v>
      </c>
      <c r="G24" s="44">
        <f>3603+595-16</f>
        <v>4182</v>
      </c>
      <c r="H24" s="44">
        <f>3603-12</f>
        <v>3591</v>
      </c>
      <c r="I24" s="44">
        <f>3603-10</f>
        <v>3593</v>
      </c>
      <c r="J24" s="44">
        <f>2703+198-7</f>
        <v>2894</v>
      </c>
      <c r="K24" s="44"/>
      <c r="L24" s="44"/>
      <c r="M24" s="44"/>
      <c r="N24" s="45"/>
    </row>
    <row r="25" spans="1:14" s="41" customFormat="1" ht="12.75" x14ac:dyDescent="0.2">
      <c r="A25" s="46" t="s">
        <v>242</v>
      </c>
      <c r="B25" s="44">
        <f>C25+D25+E25</f>
        <v>13468</v>
      </c>
      <c r="C25" s="44">
        <f>G25+K25</f>
        <v>4953</v>
      </c>
      <c r="D25" s="44">
        <f>H25+L25</f>
        <v>4953</v>
      </c>
      <c r="E25" s="44">
        <f>I25</f>
        <v>3562</v>
      </c>
      <c r="F25" s="44">
        <f>J25+M25</f>
        <v>3374</v>
      </c>
      <c r="G25" s="44">
        <f>3572-7</f>
        <v>3565</v>
      </c>
      <c r="H25" s="44">
        <f>3572-10</f>
        <v>3562</v>
      </c>
      <c r="I25" s="44">
        <f>3572-10</f>
        <v>3562</v>
      </c>
      <c r="J25" s="44">
        <f>2680-1</f>
        <v>2679</v>
      </c>
      <c r="K25" s="44">
        <f>1392-4</f>
        <v>1388</v>
      </c>
      <c r="L25" s="44">
        <f>1392-1</f>
        <v>1391</v>
      </c>
      <c r="M25" s="44">
        <v>695</v>
      </c>
      <c r="N25" s="45"/>
    </row>
    <row r="26" spans="1:14" s="41" customFormat="1" ht="12.75" x14ac:dyDescent="0.2">
      <c r="A26" s="46" t="s">
        <v>243</v>
      </c>
      <c r="B26" s="44">
        <f t="shared" si="0"/>
        <v>7421</v>
      </c>
      <c r="C26" s="44">
        <f t="shared" si="1"/>
        <v>3710</v>
      </c>
      <c r="D26" s="44">
        <f t="shared" si="1"/>
        <v>3711</v>
      </c>
      <c r="E26" s="44">
        <f t="shared" si="2"/>
        <v>0</v>
      </c>
      <c r="F26" s="44">
        <f t="shared" si="3"/>
        <v>1855</v>
      </c>
      <c r="G26" s="44"/>
      <c r="H26" s="44"/>
      <c r="I26" s="44"/>
      <c r="J26" s="44"/>
      <c r="K26" s="44">
        <v>3710</v>
      </c>
      <c r="L26" s="44">
        <f>3710+1</f>
        <v>3711</v>
      </c>
      <c r="M26" s="44">
        <v>1855</v>
      </c>
      <c r="N26" s="45"/>
    </row>
    <row r="27" spans="1:14" s="41" customFormat="1" ht="12.75" x14ac:dyDescent="0.2">
      <c r="A27" s="46" t="s">
        <v>244</v>
      </c>
      <c r="B27" s="44">
        <f t="shared" si="0"/>
        <v>14473</v>
      </c>
      <c r="C27" s="44">
        <f t="shared" si="1"/>
        <v>4825</v>
      </c>
      <c r="D27" s="44">
        <f t="shared" si="1"/>
        <v>4824</v>
      </c>
      <c r="E27" s="44">
        <f t="shared" si="2"/>
        <v>4824</v>
      </c>
      <c r="F27" s="44">
        <f t="shared" si="3"/>
        <v>3621</v>
      </c>
      <c r="G27" s="44">
        <f>4826-1</f>
        <v>4825</v>
      </c>
      <c r="H27" s="44">
        <f>4826-2</f>
        <v>4824</v>
      </c>
      <c r="I27" s="44">
        <f>4826-2</f>
        <v>4824</v>
      </c>
      <c r="J27" s="44">
        <v>3621</v>
      </c>
      <c r="K27" s="44"/>
      <c r="L27" s="44"/>
      <c r="M27" s="44"/>
      <c r="N27" s="45"/>
    </row>
    <row r="28" spans="1:14" s="41" customFormat="1" ht="12.75" x14ac:dyDescent="0.2">
      <c r="A28" s="47" t="s">
        <v>126</v>
      </c>
      <c r="B28" s="44">
        <f t="shared" si="0"/>
        <v>15820</v>
      </c>
      <c r="C28" s="44">
        <f t="shared" si="1"/>
        <v>5618</v>
      </c>
      <c r="D28" s="44">
        <f t="shared" si="1"/>
        <v>5618</v>
      </c>
      <c r="E28" s="44">
        <f t="shared" si="2"/>
        <v>4584</v>
      </c>
      <c r="F28" s="44">
        <f t="shared" si="3"/>
        <v>3959</v>
      </c>
      <c r="G28" s="44">
        <v>4584</v>
      </c>
      <c r="H28" s="44">
        <v>4584</v>
      </c>
      <c r="I28" s="44">
        <v>4584</v>
      </c>
      <c r="J28" s="44">
        <v>3441</v>
      </c>
      <c r="K28" s="44">
        <f>1035-1</f>
        <v>1034</v>
      </c>
      <c r="L28" s="44">
        <f>1035-1</f>
        <v>1034</v>
      </c>
      <c r="M28" s="44">
        <v>518</v>
      </c>
      <c r="N28" s="45"/>
    </row>
    <row r="29" spans="1:14" s="50" customFormat="1" ht="12.75" x14ac:dyDescent="0.2">
      <c r="A29" s="48" t="s">
        <v>98</v>
      </c>
      <c r="B29" s="49">
        <f t="shared" ref="B29:M29" si="4">SUM(B7:B28)</f>
        <v>323453</v>
      </c>
      <c r="C29" s="49">
        <f t="shared" si="4"/>
        <v>119532</v>
      </c>
      <c r="D29" s="49">
        <f t="shared" si="4"/>
        <v>118130</v>
      </c>
      <c r="E29" s="49">
        <f t="shared" si="4"/>
        <v>85791</v>
      </c>
      <c r="F29" s="49">
        <f t="shared" si="4"/>
        <v>81089</v>
      </c>
      <c r="G29" s="49">
        <f t="shared" si="4"/>
        <v>86381</v>
      </c>
      <c r="H29" s="49">
        <f t="shared" si="4"/>
        <v>85027</v>
      </c>
      <c r="I29" s="49">
        <f t="shared" si="4"/>
        <v>85791</v>
      </c>
      <c r="J29" s="49">
        <f t="shared" si="4"/>
        <v>64646</v>
      </c>
      <c r="K29" s="49">
        <f t="shared" si="4"/>
        <v>33151</v>
      </c>
      <c r="L29" s="49">
        <f t="shared" si="4"/>
        <v>33103</v>
      </c>
      <c r="M29" s="49">
        <f t="shared" si="4"/>
        <v>16443</v>
      </c>
      <c r="N29" s="45"/>
    </row>
    <row r="30" spans="1:14" x14ac:dyDescent="0.25">
      <c r="B30" s="14"/>
      <c r="C30" s="14"/>
      <c r="D30" s="14"/>
      <c r="E30" s="14"/>
      <c r="F30" s="14"/>
      <c r="N30" s="14"/>
    </row>
    <row r="31" spans="1:14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4" x14ac:dyDescent="0.25">
      <c r="B32" s="14"/>
    </row>
    <row r="33" spans="8:8" x14ac:dyDescent="0.25">
      <c r="H33" s="41"/>
    </row>
  </sheetData>
  <mergeCells count="18">
    <mergeCell ref="A1:M1"/>
    <mergeCell ref="A3:A6"/>
    <mergeCell ref="B3:F3"/>
    <mergeCell ref="G3:J3"/>
    <mergeCell ref="K3:M3"/>
    <mergeCell ref="B4:E4"/>
    <mergeCell ref="F4:F6"/>
    <mergeCell ref="G4:I4"/>
    <mergeCell ref="J4:J6"/>
    <mergeCell ref="K4:L4"/>
    <mergeCell ref="M4:M6"/>
    <mergeCell ref="B5:B6"/>
    <mergeCell ref="C5:E5"/>
    <mergeCell ref="G5:G6"/>
    <mergeCell ref="H5:H6"/>
    <mergeCell ref="I5:I6"/>
    <mergeCell ref="K5:K6"/>
    <mergeCell ref="L5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opLeftCell="A16" workbookViewId="0">
      <selection activeCell="E54" sqref="E54"/>
    </sheetView>
  </sheetViews>
  <sheetFormatPr defaultRowHeight="12.75" x14ac:dyDescent="0.2"/>
  <cols>
    <col min="1" max="1" width="38" style="60" customWidth="1"/>
    <col min="2" max="2" width="10" style="60" customWidth="1"/>
    <col min="3" max="3" width="10.140625" style="60" customWidth="1"/>
    <col min="4" max="4" width="7.140625" style="60" customWidth="1"/>
    <col min="5" max="5" width="9.42578125" style="60" customWidth="1"/>
    <col min="6" max="6" width="8.5703125" style="60" customWidth="1"/>
    <col min="7" max="7" width="8.42578125" style="60" customWidth="1"/>
    <col min="8" max="8" width="7.140625" style="60" customWidth="1"/>
    <col min="9" max="9" width="8.5703125" style="60" customWidth="1"/>
    <col min="10" max="10" width="7.85546875" style="60" customWidth="1"/>
    <col min="11" max="11" width="10.85546875" style="60" customWidth="1"/>
    <col min="12" max="12" width="9.85546875" style="60" customWidth="1"/>
    <col min="13" max="13" width="8.7109375" style="60" customWidth="1"/>
    <col min="14" max="14" width="9.5703125" style="60" customWidth="1"/>
    <col min="15" max="15" width="13.42578125" style="60" customWidth="1"/>
    <col min="16" max="238" width="9.140625" style="60"/>
    <col min="239" max="239" width="38" style="60" customWidth="1"/>
    <col min="240" max="240" width="8" style="60" customWidth="1"/>
    <col min="241" max="241" width="12.140625" style="60" customWidth="1"/>
    <col min="242" max="242" width="8.5703125" style="60" customWidth="1"/>
    <col min="243" max="243" width="11.42578125" style="60" customWidth="1"/>
    <col min="244" max="244" width="7.140625" style="60" customWidth="1"/>
    <col min="245" max="245" width="10.7109375" style="60" customWidth="1"/>
    <col min="246" max="246" width="7.42578125" style="60" customWidth="1"/>
    <col min="247" max="247" width="11" style="60" customWidth="1"/>
    <col min="248" max="248" width="8.5703125" style="60" customWidth="1"/>
    <col min="249" max="249" width="11" style="60" customWidth="1"/>
    <col min="250" max="250" width="8.42578125" style="60" customWidth="1"/>
    <col min="251" max="251" width="11.28515625" style="60" customWidth="1"/>
    <col min="252" max="252" width="7.140625" style="60" customWidth="1"/>
    <col min="253" max="253" width="9.42578125" style="60" customWidth="1"/>
    <col min="254" max="254" width="7.140625" style="60" customWidth="1"/>
    <col min="255" max="255" width="9.85546875" style="60" customWidth="1"/>
    <col min="256" max="256" width="7.85546875" style="60" customWidth="1"/>
    <col min="257" max="257" width="11" style="60" customWidth="1"/>
    <col min="258" max="258" width="7.85546875" style="60" customWidth="1"/>
    <col min="259" max="259" width="10.5703125" style="60" customWidth="1"/>
    <col min="260" max="260" width="7.28515625" style="60" customWidth="1"/>
    <col min="261" max="261" width="10.140625" style="60" customWidth="1"/>
    <col min="262" max="262" width="7.7109375" style="60" customWidth="1"/>
    <col min="263" max="263" width="9.85546875" style="60" customWidth="1"/>
    <col min="264" max="264" width="8.28515625" style="60" customWidth="1"/>
    <col min="265" max="265" width="11.140625" style="60" customWidth="1"/>
    <col min="266" max="266" width="7.85546875" style="60" customWidth="1"/>
    <col min="267" max="267" width="11.5703125" style="60" customWidth="1"/>
    <col min="268" max="269" width="9.140625" style="60"/>
    <col min="270" max="270" width="12.28515625" style="60" customWidth="1"/>
    <col min="271" max="494" width="9.140625" style="60"/>
    <col min="495" max="495" width="38" style="60" customWidth="1"/>
    <col min="496" max="496" width="8" style="60" customWidth="1"/>
    <col min="497" max="497" width="12.140625" style="60" customWidth="1"/>
    <col min="498" max="498" width="8.5703125" style="60" customWidth="1"/>
    <col min="499" max="499" width="11.42578125" style="60" customWidth="1"/>
    <col min="500" max="500" width="7.140625" style="60" customWidth="1"/>
    <col min="501" max="501" width="10.7109375" style="60" customWidth="1"/>
    <col min="502" max="502" width="7.42578125" style="60" customWidth="1"/>
    <col min="503" max="503" width="11" style="60" customWidth="1"/>
    <col min="504" max="504" width="8.5703125" style="60" customWidth="1"/>
    <col min="505" max="505" width="11" style="60" customWidth="1"/>
    <col min="506" max="506" width="8.42578125" style="60" customWidth="1"/>
    <col min="507" max="507" width="11.28515625" style="60" customWidth="1"/>
    <col min="508" max="508" width="7.140625" style="60" customWidth="1"/>
    <col min="509" max="509" width="9.42578125" style="60" customWidth="1"/>
    <col min="510" max="510" width="7.140625" style="60" customWidth="1"/>
    <col min="511" max="511" width="9.85546875" style="60" customWidth="1"/>
    <col min="512" max="512" width="7.85546875" style="60" customWidth="1"/>
    <col min="513" max="513" width="11" style="60" customWidth="1"/>
    <col min="514" max="514" width="7.85546875" style="60" customWidth="1"/>
    <col min="515" max="515" width="10.5703125" style="60" customWidth="1"/>
    <col min="516" max="516" width="7.28515625" style="60" customWidth="1"/>
    <col min="517" max="517" width="10.140625" style="60" customWidth="1"/>
    <col min="518" max="518" width="7.7109375" style="60" customWidth="1"/>
    <col min="519" max="519" width="9.85546875" style="60" customWidth="1"/>
    <col min="520" max="520" width="8.28515625" style="60" customWidth="1"/>
    <col min="521" max="521" width="11.140625" style="60" customWidth="1"/>
    <col min="522" max="522" width="7.85546875" style="60" customWidth="1"/>
    <col min="523" max="523" width="11.5703125" style="60" customWidth="1"/>
    <col min="524" max="525" width="9.140625" style="60"/>
    <col min="526" max="526" width="12.28515625" style="60" customWidth="1"/>
    <col min="527" max="750" width="9.140625" style="60"/>
    <col min="751" max="751" width="38" style="60" customWidth="1"/>
    <col min="752" max="752" width="8" style="60" customWidth="1"/>
    <col min="753" max="753" width="12.140625" style="60" customWidth="1"/>
    <col min="754" max="754" width="8.5703125" style="60" customWidth="1"/>
    <col min="755" max="755" width="11.42578125" style="60" customWidth="1"/>
    <col min="756" max="756" width="7.140625" style="60" customWidth="1"/>
    <col min="757" max="757" width="10.7109375" style="60" customWidth="1"/>
    <col min="758" max="758" width="7.42578125" style="60" customWidth="1"/>
    <col min="759" max="759" width="11" style="60" customWidth="1"/>
    <col min="760" max="760" width="8.5703125" style="60" customWidth="1"/>
    <col min="761" max="761" width="11" style="60" customWidth="1"/>
    <col min="762" max="762" width="8.42578125" style="60" customWidth="1"/>
    <col min="763" max="763" width="11.28515625" style="60" customWidth="1"/>
    <col min="764" max="764" width="7.140625" style="60" customWidth="1"/>
    <col min="765" max="765" width="9.42578125" style="60" customWidth="1"/>
    <col min="766" max="766" width="7.140625" style="60" customWidth="1"/>
    <col min="767" max="767" width="9.85546875" style="60" customWidth="1"/>
    <col min="768" max="768" width="7.85546875" style="60" customWidth="1"/>
    <col min="769" max="769" width="11" style="60" customWidth="1"/>
    <col min="770" max="770" width="7.85546875" style="60" customWidth="1"/>
    <col min="771" max="771" width="10.5703125" style="60" customWidth="1"/>
    <col min="772" max="772" width="7.28515625" style="60" customWidth="1"/>
    <col min="773" max="773" width="10.140625" style="60" customWidth="1"/>
    <col min="774" max="774" width="7.7109375" style="60" customWidth="1"/>
    <col min="775" max="775" width="9.85546875" style="60" customWidth="1"/>
    <col min="776" max="776" width="8.28515625" style="60" customWidth="1"/>
    <col min="777" max="777" width="11.140625" style="60" customWidth="1"/>
    <col min="778" max="778" width="7.85546875" style="60" customWidth="1"/>
    <col min="779" max="779" width="11.5703125" style="60" customWidth="1"/>
    <col min="780" max="781" width="9.140625" style="60"/>
    <col min="782" max="782" width="12.28515625" style="60" customWidth="1"/>
    <col min="783" max="1006" width="9.140625" style="60"/>
    <col min="1007" max="1007" width="38" style="60" customWidth="1"/>
    <col min="1008" max="1008" width="8" style="60" customWidth="1"/>
    <col min="1009" max="1009" width="12.140625" style="60" customWidth="1"/>
    <col min="1010" max="1010" width="8.5703125" style="60" customWidth="1"/>
    <col min="1011" max="1011" width="11.42578125" style="60" customWidth="1"/>
    <col min="1012" max="1012" width="7.140625" style="60" customWidth="1"/>
    <col min="1013" max="1013" width="10.7109375" style="60" customWidth="1"/>
    <col min="1014" max="1014" width="7.42578125" style="60" customWidth="1"/>
    <col min="1015" max="1015" width="11" style="60" customWidth="1"/>
    <col min="1016" max="1016" width="8.5703125" style="60" customWidth="1"/>
    <col min="1017" max="1017" width="11" style="60" customWidth="1"/>
    <col min="1018" max="1018" width="8.42578125" style="60" customWidth="1"/>
    <col min="1019" max="1019" width="11.28515625" style="60" customWidth="1"/>
    <col min="1020" max="1020" width="7.140625" style="60" customWidth="1"/>
    <col min="1021" max="1021" width="9.42578125" style="60" customWidth="1"/>
    <col min="1022" max="1022" width="7.140625" style="60" customWidth="1"/>
    <col min="1023" max="1023" width="9.85546875" style="60" customWidth="1"/>
    <col min="1024" max="1024" width="7.85546875" style="60" customWidth="1"/>
    <col min="1025" max="1025" width="11" style="60" customWidth="1"/>
    <col min="1026" max="1026" width="7.85546875" style="60" customWidth="1"/>
    <col min="1027" max="1027" width="10.5703125" style="60" customWidth="1"/>
    <col min="1028" max="1028" width="7.28515625" style="60" customWidth="1"/>
    <col min="1029" max="1029" width="10.140625" style="60" customWidth="1"/>
    <col min="1030" max="1030" width="7.7109375" style="60" customWidth="1"/>
    <col min="1031" max="1031" width="9.85546875" style="60" customWidth="1"/>
    <col min="1032" max="1032" width="8.28515625" style="60" customWidth="1"/>
    <col min="1033" max="1033" width="11.140625" style="60" customWidth="1"/>
    <col min="1034" max="1034" width="7.85546875" style="60" customWidth="1"/>
    <col min="1035" max="1035" width="11.5703125" style="60" customWidth="1"/>
    <col min="1036" max="1037" width="9.140625" style="60"/>
    <col min="1038" max="1038" width="12.28515625" style="60" customWidth="1"/>
    <col min="1039" max="1262" width="9.140625" style="60"/>
    <col min="1263" max="1263" width="38" style="60" customWidth="1"/>
    <col min="1264" max="1264" width="8" style="60" customWidth="1"/>
    <col min="1265" max="1265" width="12.140625" style="60" customWidth="1"/>
    <col min="1266" max="1266" width="8.5703125" style="60" customWidth="1"/>
    <col min="1267" max="1267" width="11.42578125" style="60" customWidth="1"/>
    <col min="1268" max="1268" width="7.140625" style="60" customWidth="1"/>
    <col min="1269" max="1269" width="10.7109375" style="60" customWidth="1"/>
    <col min="1270" max="1270" width="7.42578125" style="60" customWidth="1"/>
    <col min="1271" max="1271" width="11" style="60" customWidth="1"/>
    <col min="1272" max="1272" width="8.5703125" style="60" customWidth="1"/>
    <col min="1273" max="1273" width="11" style="60" customWidth="1"/>
    <col min="1274" max="1274" width="8.42578125" style="60" customWidth="1"/>
    <col min="1275" max="1275" width="11.28515625" style="60" customWidth="1"/>
    <col min="1276" max="1276" width="7.140625" style="60" customWidth="1"/>
    <col min="1277" max="1277" width="9.42578125" style="60" customWidth="1"/>
    <col min="1278" max="1278" width="7.140625" style="60" customWidth="1"/>
    <col min="1279" max="1279" width="9.85546875" style="60" customWidth="1"/>
    <col min="1280" max="1280" width="7.85546875" style="60" customWidth="1"/>
    <col min="1281" max="1281" width="11" style="60" customWidth="1"/>
    <col min="1282" max="1282" width="7.85546875" style="60" customWidth="1"/>
    <col min="1283" max="1283" width="10.5703125" style="60" customWidth="1"/>
    <col min="1284" max="1284" width="7.28515625" style="60" customWidth="1"/>
    <col min="1285" max="1285" width="10.140625" style="60" customWidth="1"/>
    <col min="1286" max="1286" width="7.7109375" style="60" customWidth="1"/>
    <col min="1287" max="1287" width="9.85546875" style="60" customWidth="1"/>
    <col min="1288" max="1288" width="8.28515625" style="60" customWidth="1"/>
    <col min="1289" max="1289" width="11.140625" style="60" customWidth="1"/>
    <col min="1290" max="1290" width="7.85546875" style="60" customWidth="1"/>
    <col min="1291" max="1291" width="11.5703125" style="60" customWidth="1"/>
    <col min="1292" max="1293" width="9.140625" style="60"/>
    <col min="1294" max="1294" width="12.28515625" style="60" customWidth="1"/>
    <col min="1295" max="1518" width="9.140625" style="60"/>
    <col min="1519" max="1519" width="38" style="60" customWidth="1"/>
    <col min="1520" max="1520" width="8" style="60" customWidth="1"/>
    <col min="1521" max="1521" width="12.140625" style="60" customWidth="1"/>
    <col min="1522" max="1522" width="8.5703125" style="60" customWidth="1"/>
    <col min="1523" max="1523" width="11.42578125" style="60" customWidth="1"/>
    <col min="1524" max="1524" width="7.140625" style="60" customWidth="1"/>
    <col min="1525" max="1525" width="10.7109375" style="60" customWidth="1"/>
    <col min="1526" max="1526" width="7.42578125" style="60" customWidth="1"/>
    <col min="1527" max="1527" width="11" style="60" customWidth="1"/>
    <col min="1528" max="1528" width="8.5703125" style="60" customWidth="1"/>
    <col min="1529" max="1529" width="11" style="60" customWidth="1"/>
    <col min="1530" max="1530" width="8.42578125" style="60" customWidth="1"/>
    <col min="1531" max="1531" width="11.28515625" style="60" customWidth="1"/>
    <col min="1532" max="1532" width="7.140625" style="60" customWidth="1"/>
    <col min="1533" max="1533" width="9.42578125" style="60" customWidth="1"/>
    <col min="1534" max="1534" width="7.140625" style="60" customWidth="1"/>
    <col min="1535" max="1535" width="9.85546875" style="60" customWidth="1"/>
    <col min="1536" max="1536" width="7.85546875" style="60" customWidth="1"/>
    <col min="1537" max="1537" width="11" style="60" customWidth="1"/>
    <col min="1538" max="1538" width="7.85546875" style="60" customWidth="1"/>
    <col min="1539" max="1539" width="10.5703125" style="60" customWidth="1"/>
    <col min="1540" max="1540" width="7.28515625" style="60" customWidth="1"/>
    <col min="1541" max="1541" width="10.140625" style="60" customWidth="1"/>
    <col min="1542" max="1542" width="7.7109375" style="60" customWidth="1"/>
    <col min="1543" max="1543" width="9.85546875" style="60" customWidth="1"/>
    <col min="1544" max="1544" width="8.28515625" style="60" customWidth="1"/>
    <col min="1545" max="1545" width="11.140625" style="60" customWidth="1"/>
    <col min="1546" max="1546" width="7.85546875" style="60" customWidth="1"/>
    <col min="1547" max="1547" width="11.5703125" style="60" customWidth="1"/>
    <col min="1548" max="1549" width="9.140625" style="60"/>
    <col min="1550" max="1550" width="12.28515625" style="60" customWidth="1"/>
    <col min="1551" max="1774" width="9.140625" style="60"/>
    <col min="1775" max="1775" width="38" style="60" customWidth="1"/>
    <col min="1776" max="1776" width="8" style="60" customWidth="1"/>
    <col min="1777" max="1777" width="12.140625" style="60" customWidth="1"/>
    <col min="1778" max="1778" width="8.5703125" style="60" customWidth="1"/>
    <col min="1779" max="1779" width="11.42578125" style="60" customWidth="1"/>
    <col min="1780" max="1780" width="7.140625" style="60" customWidth="1"/>
    <col min="1781" max="1781" width="10.7109375" style="60" customWidth="1"/>
    <col min="1782" max="1782" width="7.42578125" style="60" customWidth="1"/>
    <col min="1783" max="1783" width="11" style="60" customWidth="1"/>
    <col min="1784" max="1784" width="8.5703125" style="60" customWidth="1"/>
    <col min="1785" max="1785" width="11" style="60" customWidth="1"/>
    <col min="1786" max="1786" width="8.42578125" style="60" customWidth="1"/>
    <col min="1787" max="1787" width="11.28515625" style="60" customWidth="1"/>
    <col min="1788" max="1788" width="7.140625" style="60" customWidth="1"/>
    <col min="1789" max="1789" width="9.42578125" style="60" customWidth="1"/>
    <col min="1790" max="1790" width="7.140625" style="60" customWidth="1"/>
    <col min="1791" max="1791" width="9.85546875" style="60" customWidth="1"/>
    <col min="1792" max="1792" width="7.85546875" style="60" customWidth="1"/>
    <col min="1793" max="1793" width="11" style="60" customWidth="1"/>
    <col min="1794" max="1794" width="7.85546875" style="60" customWidth="1"/>
    <col min="1795" max="1795" width="10.5703125" style="60" customWidth="1"/>
    <col min="1796" max="1796" width="7.28515625" style="60" customWidth="1"/>
    <col min="1797" max="1797" width="10.140625" style="60" customWidth="1"/>
    <col min="1798" max="1798" width="7.7109375" style="60" customWidth="1"/>
    <col min="1799" max="1799" width="9.85546875" style="60" customWidth="1"/>
    <col min="1800" max="1800" width="8.28515625" style="60" customWidth="1"/>
    <col min="1801" max="1801" width="11.140625" style="60" customWidth="1"/>
    <col min="1802" max="1802" width="7.85546875" style="60" customWidth="1"/>
    <col min="1803" max="1803" width="11.5703125" style="60" customWidth="1"/>
    <col min="1804" max="1805" width="9.140625" style="60"/>
    <col min="1806" max="1806" width="12.28515625" style="60" customWidth="1"/>
    <col min="1807" max="2030" width="9.140625" style="60"/>
    <col min="2031" max="2031" width="38" style="60" customWidth="1"/>
    <col min="2032" max="2032" width="8" style="60" customWidth="1"/>
    <col min="2033" max="2033" width="12.140625" style="60" customWidth="1"/>
    <col min="2034" max="2034" width="8.5703125" style="60" customWidth="1"/>
    <col min="2035" max="2035" width="11.42578125" style="60" customWidth="1"/>
    <col min="2036" max="2036" width="7.140625" style="60" customWidth="1"/>
    <col min="2037" max="2037" width="10.7109375" style="60" customWidth="1"/>
    <col min="2038" max="2038" width="7.42578125" style="60" customWidth="1"/>
    <col min="2039" max="2039" width="11" style="60" customWidth="1"/>
    <col min="2040" max="2040" width="8.5703125" style="60" customWidth="1"/>
    <col min="2041" max="2041" width="11" style="60" customWidth="1"/>
    <col min="2042" max="2042" width="8.42578125" style="60" customWidth="1"/>
    <col min="2043" max="2043" width="11.28515625" style="60" customWidth="1"/>
    <col min="2044" max="2044" width="7.140625" style="60" customWidth="1"/>
    <col min="2045" max="2045" width="9.42578125" style="60" customWidth="1"/>
    <col min="2046" max="2046" width="7.140625" style="60" customWidth="1"/>
    <col min="2047" max="2047" width="9.85546875" style="60" customWidth="1"/>
    <col min="2048" max="2048" width="7.85546875" style="60" customWidth="1"/>
    <col min="2049" max="2049" width="11" style="60" customWidth="1"/>
    <col min="2050" max="2050" width="7.85546875" style="60" customWidth="1"/>
    <col min="2051" max="2051" width="10.5703125" style="60" customWidth="1"/>
    <col min="2052" max="2052" width="7.28515625" style="60" customWidth="1"/>
    <col min="2053" max="2053" width="10.140625" style="60" customWidth="1"/>
    <col min="2054" max="2054" width="7.7109375" style="60" customWidth="1"/>
    <col min="2055" max="2055" width="9.85546875" style="60" customWidth="1"/>
    <col min="2056" max="2056" width="8.28515625" style="60" customWidth="1"/>
    <col min="2057" max="2057" width="11.140625" style="60" customWidth="1"/>
    <col min="2058" max="2058" width="7.85546875" style="60" customWidth="1"/>
    <col min="2059" max="2059" width="11.5703125" style="60" customWidth="1"/>
    <col min="2060" max="2061" width="9.140625" style="60"/>
    <col min="2062" max="2062" width="12.28515625" style="60" customWidth="1"/>
    <col min="2063" max="2286" width="9.140625" style="60"/>
    <col min="2287" max="2287" width="38" style="60" customWidth="1"/>
    <col min="2288" max="2288" width="8" style="60" customWidth="1"/>
    <col min="2289" max="2289" width="12.140625" style="60" customWidth="1"/>
    <col min="2290" max="2290" width="8.5703125" style="60" customWidth="1"/>
    <col min="2291" max="2291" width="11.42578125" style="60" customWidth="1"/>
    <col min="2292" max="2292" width="7.140625" style="60" customWidth="1"/>
    <col min="2293" max="2293" width="10.7109375" style="60" customWidth="1"/>
    <col min="2294" max="2294" width="7.42578125" style="60" customWidth="1"/>
    <col min="2295" max="2295" width="11" style="60" customWidth="1"/>
    <col min="2296" max="2296" width="8.5703125" style="60" customWidth="1"/>
    <col min="2297" max="2297" width="11" style="60" customWidth="1"/>
    <col min="2298" max="2298" width="8.42578125" style="60" customWidth="1"/>
    <col min="2299" max="2299" width="11.28515625" style="60" customWidth="1"/>
    <col min="2300" max="2300" width="7.140625" style="60" customWidth="1"/>
    <col min="2301" max="2301" width="9.42578125" style="60" customWidth="1"/>
    <col min="2302" max="2302" width="7.140625" style="60" customWidth="1"/>
    <col min="2303" max="2303" width="9.85546875" style="60" customWidth="1"/>
    <col min="2304" max="2304" width="7.85546875" style="60" customWidth="1"/>
    <col min="2305" max="2305" width="11" style="60" customWidth="1"/>
    <col min="2306" max="2306" width="7.85546875" style="60" customWidth="1"/>
    <col min="2307" max="2307" width="10.5703125" style="60" customWidth="1"/>
    <col min="2308" max="2308" width="7.28515625" style="60" customWidth="1"/>
    <col min="2309" max="2309" width="10.140625" style="60" customWidth="1"/>
    <col min="2310" max="2310" width="7.7109375" style="60" customWidth="1"/>
    <col min="2311" max="2311" width="9.85546875" style="60" customWidth="1"/>
    <col min="2312" max="2312" width="8.28515625" style="60" customWidth="1"/>
    <col min="2313" max="2313" width="11.140625" style="60" customWidth="1"/>
    <col min="2314" max="2314" width="7.85546875" style="60" customWidth="1"/>
    <col min="2315" max="2315" width="11.5703125" style="60" customWidth="1"/>
    <col min="2316" max="2317" width="9.140625" style="60"/>
    <col min="2318" max="2318" width="12.28515625" style="60" customWidth="1"/>
    <col min="2319" max="2542" width="9.140625" style="60"/>
    <col min="2543" max="2543" width="38" style="60" customWidth="1"/>
    <col min="2544" max="2544" width="8" style="60" customWidth="1"/>
    <col min="2545" max="2545" width="12.140625" style="60" customWidth="1"/>
    <col min="2546" max="2546" width="8.5703125" style="60" customWidth="1"/>
    <col min="2547" max="2547" width="11.42578125" style="60" customWidth="1"/>
    <col min="2548" max="2548" width="7.140625" style="60" customWidth="1"/>
    <col min="2549" max="2549" width="10.7109375" style="60" customWidth="1"/>
    <col min="2550" max="2550" width="7.42578125" style="60" customWidth="1"/>
    <col min="2551" max="2551" width="11" style="60" customWidth="1"/>
    <col min="2552" max="2552" width="8.5703125" style="60" customWidth="1"/>
    <col min="2553" max="2553" width="11" style="60" customWidth="1"/>
    <col min="2554" max="2554" width="8.42578125" style="60" customWidth="1"/>
    <col min="2555" max="2555" width="11.28515625" style="60" customWidth="1"/>
    <col min="2556" max="2556" width="7.140625" style="60" customWidth="1"/>
    <col min="2557" max="2557" width="9.42578125" style="60" customWidth="1"/>
    <col min="2558" max="2558" width="7.140625" style="60" customWidth="1"/>
    <col min="2559" max="2559" width="9.85546875" style="60" customWidth="1"/>
    <col min="2560" max="2560" width="7.85546875" style="60" customWidth="1"/>
    <col min="2561" max="2561" width="11" style="60" customWidth="1"/>
    <col min="2562" max="2562" width="7.85546875" style="60" customWidth="1"/>
    <col min="2563" max="2563" width="10.5703125" style="60" customWidth="1"/>
    <col min="2564" max="2564" width="7.28515625" style="60" customWidth="1"/>
    <col min="2565" max="2565" width="10.140625" style="60" customWidth="1"/>
    <col min="2566" max="2566" width="7.7109375" style="60" customWidth="1"/>
    <col min="2567" max="2567" width="9.85546875" style="60" customWidth="1"/>
    <col min="2568" max="2568" width="8.28515625" style="60" customWidth="1"/>
    <col min="2569" max="2569" width="11.140625" style="60" customWidth="1"/>
    <col min="2570" max="2570" width="7.85546875" style="60" customWidth="1"/>
    <col min="2571" max="2571" width="11.5703125" style="60" customWidth="1"/>
    <col min="2572" max="2573" width="9.140625" style="60"/>
    <col min="2574" max="2574" width="12.28515625" style="60" customWidth="1"/>
    <col min="2575" max="2798" width="9.140625" style="60"/>
    <col min="2799" max="2799" width="38" style="60" customWidth="1"/>
    <col min="2800" max="2800" width="8" style="60" customWidth="1"/>
    <col min="2801" max="2801" width="12.140625" style="60" customWidth="1"/>
    <col min="2802" max="2802" width="8.5703125" style="60" customWidth="1"/>
    <col min="2803" max="2803" width="11.42578125" style="60" customWidth="1"/>
    <col min="2804" max="2804" width="7.140625" style="60" customWidth="1"/>
    <col min="2805" max="2805" width="10.7109375" style="60" customWidth="1"/>
    <col min="2806" max="2806" width="7.42578125" style="60" customWidth="1"/>
    <col min="2807" max="2807" width="11" style="60" customWidth="1"/>
    <col min="2808" max="2808" width="8.5703125" style="60" customWidth="1"/>
    <col min="2809" max="2809" width="11" style="60" customWidth="1"/>
    <col min="2810" max="2810" width="8.42578125" style="60" customWidth="1"/>
    <col min="2811" max="2811" width="11.28515625" style="60" customWidth="1"/>
    <col min="2812" max="2812" width="7.140625" style="60" customWidth="1"/>
    <col min="2813" max="2813" width="9.42578125" style="60" customWidth="1"/>
    <col min="2814" max="2814" width="7.140625" style="60" customWidth="1"/>
    <col min="2815" max="2815" width="9.85546875" style="60" customWidth="1"/>
    <col min="2816" max="2816" width="7.85546875" style="60" customWidth="1"/>
    <col min="2817" max="2817" width="11" style="60" customWidth="1"/>
    <col min="2818" max="2818" width="7.85546875" style="60" customWidth="1"/>
    <col min="2819" max="2819" width="10.5703125" style="60" customWidth="1"/>
    <col min="2820" max="2820" width="7.28515625" style="60" customWidth="1"/>
    <col min="2821" max="2821" width="10.140625" style="60" customWidth="1"/>
    <col min="2822" max="2822" width="7.7109375" style="60" customWidth="1"/>
    <col min="2823" max="2823" width="9.85546875" style="60" customWidth="1"/>
    <col min="2824" max="2824" width="8.28515625" style="60" customWidth="1"/>
    <col min="2825" max="2825" width="11.140625" style="60" customWidth="1"/>
    <col min="2826" max="2826" width="7.85546875" style="60" customWidth="1"/>
    <col min="2827" max="2827" width="11.5703125" style="60" customWidth="1"/>
    <col min="2828" max="2829" width="9.140625" style="60"/>
    <col min="2830" max="2830" width="12.28515625" style="60" customWidth="1"/>
    <col min="2831" max="3054" width="9.140625" style="60"/>
    <col min="3055" max="3055" width="38" style="60" customWidth="1"/>
    <col min="3056" max="3056" width="8" style="60" customWidth="1"/>
    <col min="3057" max="3057" width="12.140625" style="60" customWidth="1"/>
    <col min="3058" max="3058" width="8.5703125" style="60" customWidth="1"/>
    <col min="3059" max="3059" width="11.42578125" style="60" customWidth="1"/>
    <col min="3060" max="3060" width="7.140625" style="60" customWidth="1"/>
    <col min="3061" max="3061" width="10.7109375" style="60" customWidth="1"/>
    <col min="3062" max="3062" width="7.42578125" style="60" customWidth="1"/>
    <col min="3063" max="3063" width="11" style="60" customWidth="1"/>
    <col min="3064" max="3064" width="8.5703125" style="60" customWidth="1"/>
    <col min="3065" max="3065" width="11" style="60" customWidth="1"/>
    <col min="3066" max="3066" width="8.42578125" style="60" customWidth="1"/>
    <col min="3067" max="3067" width="11.28515625" style="60" customWidth="1"/>
    <col min="3068" max="3068" width="7.140625" style="60" customWidth="1"/>
    <col min="3069" max="3069" width="9.42578125" style="60" customWidth="1"/>
    <col min="3070" max="3070" width="7.140625" style="60" customWidth="1"/>
    <col min="3071" max="3071" width="9.85546875" style="60" customWidth="1"/>
    <col min="3072" max="3072" width="7.85546875" style="60" customWidth="1"/>
    <col min="3073" max="3073" width="11" style="60" customWidth="1"/>
    <col min="3074" max="3074" width="7.85546875" style="60" customWidth="1"/>
    <col min="3075" max="3075" width="10.5703125" style="60" customWidth="1"/>
    <col min="3076" max="3076" width="7.28515625" style="60" customWidth="1"/>
    <col min="3077" max="3077" width="10.140625" style="60" customWidth="1"/>
    <col min="3078" max="3078" width="7.7109375" style="60" customWidth="1"/>
    <col min="3079" max="3079" width="9.85546875" style="60" customWidth="1"/>
    <col min="3080" max="3080" width="8.28515625" style="60" customWidth="1"/>
    <col min="3081" max="3081" width="11.140625" style="60" customWidth="1"/>
    <col min="3082" max="3082" width="7.85546875" style="60" customWidth="1"/>
    <col min="3083" max="3083" width="11.5703125" style="60" customWidth="1"/>
    <col min="3084" max="3085" width="9.140625" style="60"/>
    <col min="3086" max="3086" width="12.28515625" style="60" customWidth="1"/>
    <col min="3087" max="3310" width="9.140625" style="60"/>
    <col min="3311" max="3311" width="38" style="60" customWidth="1"/>
    <col min="3312" max="3312" width="8" style="60" customWidth="1"/>
    <col min="3313" max="3313" width="12.140625" style="60" customWidth="1"/>
    <col min="3314" max="3314" width="8.5703125" style="60" customWidth="1"/>
    <col min="3315" max="3315" width="11.42578125" style="60" customWidth="1"/>
    <col min="3316" max="3316" width="7.140625" style="60" customWidth="1"/>
    <col min="3317" max="3317" width="10.7109375" style="60" customWidth="1"/>
    <col min="3318" max="3318" width="7.42578125" style="60" customWidth="1"/>
    <col min="3319" max="3319" width="11" style="60" customWidth="1"/>
    <col min="3320" max="3320" width="8.5703125" style="60" customWidth="1"/>
    <col min="3321" max="3321" width="11" style="60" customWidth="1"/>
    <col min="3322" max="3322" width="8.42578125" style="60" customWidth="1"/>
    <col min="3323" max="3323" width="11.28515625" style="60" customWidth="1"/>
    <col min="3324" max="3324" width="7.140625" style="60" customWidth="1"/>
    <col min="3325" max="3325" width="9.42578125" style="60" customWidth="1"/>
    <col min="3326" max="3326" width="7.140625" style="60" customWidth="1"/>
    <col min="3327" max="3327" width="9.85546875" style="60" customWidth="1"/>
    <col min="3328" max="3328" width="7.85546875" style="60" customWidth="1"/>
    <col min="3329" max="3329" width="11" style="60" customWidth="1"/>
    <col min="3330" max="3330" width="7.85546875" style="60" customWidth="1"/>
    <col min="3331" max="3331" width="10.5703125" style="60" customWidth="1"/>
    <col min="3332" max="3332" width="7.28515625" style="60" customWidth="1"/>
    <col min="3333" max="3333" width="10.140625" style="60" customWidth="1"/>
    <col min="3334" max="3334" width="7.7109375" style="60" customWidth="1"/>
    <col min="3335" max="3335" width="9.85546875" style="60" customWidth="1"/>
    <col min="3336" max="3336" width="8.28515625" style="60" customWidth="1"/>
    <col min="3337" max="3337" width="11.140625" style="60" customWidth="1"/>
    <col min="3338" max="3338" width="7.85546875" style="60" customWidth="1"/>
    <col min="3339" max="3339" width="11.5703125" style="60" customWidth="1"/>
    <col min="3340" max="3341" width="9.140625" style="60"/>
    <col min="3342" max="3342" width="12.28515625" style="60" customWidth="1"/>
    <col min="3343" max="3566" width="9.140625" style="60"/>
    <col min="3567" max="3567" width="38" style="60" customWidth="1"/>
    <col min="3568" max="3568" width="8" style="60" customWidth="1"/>
    <col min="3569" max="3569" width="12.140625" style="60" customWidth="1"/>
    <col min="3570" max="3570" width="8.5703125" style="60" customWidth="1"/>
    <col min="3571" max="3571" width="11.42578125" style="60" customWidth="1"/>
    <col min="3572" max="3572" width="7.140625" style="60" customWidth="1"/>
    <col min="3573" max="3573" width="10.7109375" style="60" customWidth="1"/>
    <col min="3574" max="3574" width="7.42578125" style="60" customWidth="1"/>
    <col min="3575" max="3575" width="11" style="60" customWidth="1"/>
    <col min="3576" max="3576" width="8.5703125" style="60" customWidth="1"/>
    <col min="3577" max="3577" width="11" style="60" customWidth="1"/>
    <col min="3578" max="3578" width="8.42578125" style="60" customWidth="1"/>
    <col min="3579" max="3579" width="11.28515625" style="60" customWidth="1"/>
    <col min="3580" max="3580" width="7.140625" style="60" customWidth="1"/>
    <col min="3581" max="3581" width="9.42578125" style="60" customWidth="1"/>
    <col min="3582" max="3582" width="7.140625" style="60" customWidth="1"/>
    <col min="3583" max="3583" width="9.85546875" style="60" customWidth="1"/>
    <col min="3584" max="3584" width="7.85546875" style="60" customWidth="1"/>
    <col min="3585" max="3585" width="11" style="60" customWidth="1"/>
    <col min="3586" max="3586" width="7.85546875" style="60" customWidth="1"/>
    <col min="3587" max="3587" width="10.5703125" style="60" customWidth="1"/>
    <col min="3588" max="3588" width="7.28515625" style="60" customWidth="1"/>
    <col min="3589" max="3589" width="10.140625" style="60" customWidth="1"/>
    <col min="3590" max="3590" width="7.7109375" style="60" customWidth="1"/>
    <col min="3591" max="3591" width="9.85546875" style="60" customWidth="1"/>
    <col min="3592" max="3592" width="8.28515625" style="60" customWidth="1"/>
    <col min="3593" max="3593" width="11.140625" style="60" customWidth="1"/>
    <col min="3594" max="3594" width="7.85546875" style="60" customWidth="1"/>
    <col min="3595" max="3595" width="11.5703125" style="60" customWidth="1"/>
    <col min="3596" max="3597" width="9.140625" style="60"/>
    <col min="3598" max="3598" width="12.28515625" style="60" customWidth="1"/>
    <col min="3599" max="3822" width="9.140625" style="60"/>
    <col min="3823" max="3823" width="38" style="60" customWidth="1"/>
    <col min="3824" max="3824" width="8" style="60" customWidth="1"/>
    <col min="3825" max="3825" width="12.140625" style="60" customWidth="1"/>
    <col min="3826" max="3826" width="8.5703125" style="60" customWidth="1"/>
    <col min="3827" max="3827" width="11.42578125" style="60" customWidth="1"/>
    <col min="3828" max="3828" width="7.140625" style="60" customWidth="1"/>
    <col min="3829" max="3829" width="10.7109375" style="60" customWidth="1"/>
    <col min="3830" max="3830" width="7.42578125" style="60" customWidth="1"/>
    <col min="3831" max="3831" width="11" style="60" customWidth="1"/>
    <col min="3832" max="3832" width="8.5703125" style="60" customWidth="1"/>
    <col min="3833" max="3833" width="11" style="60" customWidth="1"/>
    <col min="3834" max="3834" width="8.42578125" style="60" customWidth="1"/>
    <col min="3835" max="3835" width="11.28515625" style="60" customWidth="1"/>
    <col min="3836" max="3836" width="7.140625" style="60" customWidth="1"/>
    <col min="3837" max="3837" width="9.42578125" style="60" customWidth="1"/>
    <col min="3838" max="3838" width="7.140625" style="60" customWidth="1"/>
    <col min="3839" max="3839" width="9.85546875" style="60" customWidth="1"/>
    <col min="3840" max="3840" width="7.85546875" style="60" customWidth="1"/>
    <col min="3841" max="3841" width="11" style="60" customWidth="1"/>
    <col min="3842" max="3842" width="7.85546875" style="60" customWidth="1"/>
    <col min="3843" max="3843" width="10.5703125" style="60" customWidth="1"/>
    <col min="3844" max="3844" width="7.28515625" style="60" customWidth="1"/>
    <col min="3845" max="3845" width="10.140625" style="60" customWidth="1"/>
    <col min="3846" max="3846" width="7.7109375" style="60" customWidth="1"/>
    <col min="3847" max="3847" width="9.85546875" style="60" customWidth="1"/>
    <col min="3848" max="3848" width="8.28515625" style="60" customWidth="1"/>
    <col min="3849" max="3849" width="11.140625" style="60" customWidth="1"/>
    <col min="3850" max="3850" width="7.85546875" style="60" customWidth="1"/>
    <col min="3851" max="3851" width="11.5703125" style="60" customWidth="1"/>
    <col min="3852" max="3853" width="9.140625" style="60"/>
    <col min="3854" max="3854" width="12.28515625" style="60" customWidth="1"/>
    <col min="3855" max="4078" width="9.140625" style="60"/>
    <col min="4079" max="4079" width="38" style="60" customWidth="1"/>
    <col min="4080" max="4080" width="8" style="60" customWidth="1"/>
    <col min="4081" max="4081" width="12.140625" style="60" customWidth="1"/>
    <col min="4082" max="4082" width="8.5703125" style="60" customWidth="1"/>
    <col min="4083" max="4083" width="11.42578125" style="60" customWidth="1"/>
    <col min="4084" max="4084" width="7.140625" style="60" customWidth="1"/>
    <col min="4085" max="4085" width="10.7109375" style="60" customWidth="1"/>
    <col min="4086" max="4086" width="7.42578125" style="60" customWidth="1"/>
    <col min="4087" max="4087" width="11" style="60" customWidth="1"/>
    <col min="4088" max="4088" width="8.5703125" style="60" customWidth="1"/>
    <col min="4089" max="4089" width="11" style="60" customWidth="1"/>
    <col min="4090" max="4090" width="8.42578125" style="60" customWidth="1"/>
    <col min="4091" max="4091" width="11.28515625" style="60" customWidth="1"/>
    <col min="4092" max="4092" width="7.140625" style="60" customWidth="1"/>
    <col min="4093" max="4093" width="9.42578125" style="60" customWidth="1"/>
    <col min="4094" max="4094" width="7.140625" style="60" customWidth="1"/>
    <col min="4095" max="4095" width="9.85546875" style="60" customWidth="1"/>
    <col min="4096" max="4096" width="7.85546875" style="60" customWidth="1"/>
    <col min="4097" max="4097" width="11" style="60" customWidth="1"/>
    <col min="4098" max="4098" width="7.85546875" style="60" customWidth="1"/>
    <col min="4099" max="4099" width="10.5703125" style="60" customWidth="1"/>
    <col min="4100" max="4100" width="7.28515625" style="60" customWidth="1"/>
    <col min="4101" max="4101" width="10.140625" style="60" customWidth="1"/>
    <col min="4102" max="4102" width="7.7109375" style="60" customWidth="1"/>
    <col min="4103" max="4103" width="9.85546875" style="60" customWidth="1"/>
    <col min="4104" max="4104" width="8.28515625" style="60" customWidth="1"/>
    <col min="4105" max="4105" width="11.140625" style="60" customWidth="1"/>
    <col min="4106" max="4106" width="7.85546875" style="60" customWidth="1"/>
    <col min="4107" max="4107" width="11.5703125" style="60" customWidth="1"/>
    <col min="4108" max="4109" width="9.140625" style="60"/>
    <col min="4110" max="4110" width="12.28515625" style="60" customWidth="1"/>
    <col min="4111" max="4334" width="9.140625" style="60"/>
    <col min="4335" max="4335" width="38" style="60" customWidth="1"/>
    <col min="4336" max="4336" width="8" style="60" customWidth="1"/>
    <col min="4337" max="4337" width="12.140625" style="60" customWidth="1"/>
    <col min="4338" max="4338" width="8.5703125" style="60" customWidth="1"/>
    <col min="4339" max="4339" width="11.42578125" style="60" customWidth="1"/>
    <col min="4340" max="4340" width="7.140625" style="60" customWidth="1"/>
    <col min="4341" max="4341" width="10.7109375" style="60" customWidth="1"/>
    <col min="4342" max="4342" width="7.42578125" style="60" customWidth="1"/>
    <col min="4343" max="4343" width="11" style="60" customWidth="1"/>
    <col min="4344" max="4344" width="8.5703125" style="60" customWidth="1"/>
    <col min="4345" max="4345" width="11" style="60" customWidth="1"/>
    <col min="4346" max="4346" width="8.42578125" style="60" customWidth="1"/>
    <col min="4347" max="4347" width="11.28515625" style="60" customWidth="1"/>
    <col min="4348" max="4348" width="7.140625" style="60" customWidth="1"/>
    <col min="4349" max="4349" width="9.42578125" style="60" customWidth="1"/>
    <col min="4350" max="4350" width="7.140625" style="60" customWidth="1"/>
    <col min="4351" max="4351" width="9.85546875" style="60" customWidth="1"/>
    <col min="4352" max="4352" width="7.85546875" style="60" customWidth="1"/>
    <col min="4353" max="4353" width="11" style="60" customWidth="1"/>
    <col min="4354" max="4354" width="7.85546875" style="60" customWidth="1"/>
    <col min="4355" max="4355" width="10.5703125" style="60" customWidth="1"/>
    <col min="4356" max="4356" width="7.28515625" style="60" customWidth="1"/>
    <col min="4357" max="4357" width="10.140625" style="60" customWidth="1"/>
    <col min="4358" max="4358" width="7.7109375" style="60" customWidth="1"/>
    <col min="4359" max="4359" width="9.85546875" style="60" customWidth="1"/>
    <col min="4360" max="4360" width="8.28515625" style="60" customWidth="1"/>
    <col min="4361" max="4361" width="11.140625" style="60" customWidth="1"/>
    <col min="4362" max="4362" width="7.85546875" style="60" customWidth="1"/>
    <col min="4363" max="4363" width="11.5703125" style="60" customWidth="1"/>
    <col min="4364" max="4365" width="9.140625" style="60"/>
    <col min="4366" max="4366" width="12.28515625" style="60" customWidth="1"/>
    <col min="4367" max="4590" width="9.140625" style="60"/>
    <col min="4591" max="4591" width="38" style="60" customWidth="1"/>
    <col min="4592" max="4592" width="8" style="60" customWidth="1"/>
    <col min="4593" max="4593" width="12.140625" style="60" customWidth="1"/>
    <col min="4594" max="4594" width="8.5703125" style="60" customWidth="1"/>
    <col min="4595" max="4595" width="11.42578125" style="60" customWidth="1"/>
    <col min="4596" max="4596" width="7.140625" style="60" customWidth="1"/>
    <col min="4597" max="4597" width="10.7109375" style="60" customWidth="1"/>
    <col min="4598" max="4598" width="7.42578125" style="60" customWidth="1"/>
    <col min="4599" max="4599" width="11" style="60" customWidth="1"/>
    <col min="4600" max="4600" width="8.5703125" style="60" customWidth="1"/>
    <col min="4601" max="4601" width="11" style="60" customWidth="1"/>
    <col min="4602" max="4602" width="8.42578125" style="60" customWidth="1"/>
    <col min="4603" max="4603" width="11.28515625" style="60" customWidth="1"/>
    <col min="4604" max="4604" width="7.140625" style="60" customWidth="1"/>
    <col min="4605" max="4605" width="9.42578125" style="60" customWidth="1"/>
    <col min="4606" max="4606" width="7.140625" style="60" customWidth="1"/>
    <col min="4607" max="4607" width="9.85546875" style="60" customWidth="1"/>
    <col min="4608" max="4608" width="7.85546875" style="60" customWidth="1"/>
    <col min="4609" max="4609" width="11" style="60" customWidth="1"/>
    <col min="4610" max="4610" width="7.85546875" style="60" customWidth="1"/>
    <col min="4611" max="4611" width="10.5703125" style="60" customWidth="1"/>
    <col min="4612" max="4612" width="7.28515625" style="60" customWidth="1"/>
    <col min="4613" max="4613" width="10.140625" style="60" customWidth="1"/>
    <col min="4614" max="4614" width="7.7109375" style="60" customWidth="1"/>
    <col min="4615" max="4615" width="9.85546875" style="60" customWidth="1"/>
    <col min="4616" max="4616" width="8.28515625" style="60" customWidth="1"/>
    <col min="4617" max="4617" width="11.140625" style="60" customWidth="1"/>
    <col min="4618" max="4618" width="7.85546875" style="60" customWidth="1"/>
    <col min="4619" max="4619" width="11.5703125" style="60" customWidth="1"/>
    <col min="4620" max="4621" width="9.140625" style="60"/>
    <col min="4622" max="4622" width="12.28515625" style="60" customWidth="1"/>
    <col min="4623" max="4846" width="9.140625" style="60"/>
    <col min="4847" max="4847" width="38" style="60" customWidth="1"/>
    <col min="4848" max="4848" width="8" style="60" customWidth="1"/>
    <col min="4849" max="4849" width="12.140625" style="60" customWidth="1"/>
    <col min="4850" max="4850" width="8.5703125" style="60" customWidth="1"/>
    <col min="4851" max="4851" width="11.42578125" style="60" customWidth="1"/>
    <col min="4852" max="4852" width="7.140625" style="60" customWidth="1"/>
    <col min="4853" max="4853" width="10.7109375" style="60" customWidth="1"/>
    <col min="4854" max="4854" width="7.42578125" style="60" customWidth="1"/>
    <col min="4855" max="4855" width="11" style="60" customWidth="1"/>
    <col min="4856" max="4856" width="8.5703125" style="60" customWidth="1"/>
    <col min="4857" max="4857" width="11" style="60" customWidth="1"/>
    <col min="4858" max="4858" width="8.42578125" style="60" customWidth="1"/>
    <col min="4859" max="4859" width="11.28515625" style="60" customWidth="1"/>
    <col min="4860" max="4860" width="7.140625" style="60" customWidth="1"/>
    <col min="4861" max="4861" width="9.42578125" style="60" customWidth="1"/>
    <col min="4862" max="4862" width="7.140625" style="60" customWidth="1"/>
    <col min="4863" max="4863" width="9.85546875" style="60" customWidth="1"/>
    <col min="4864" max="4864" width="7.85546875" style="60" customWidth="1"/>
    <col min="4865" max="4865" width="11" style="60" customWidth="1"/>
    <col min="4866" max="4866" width="7.85546875" style="60" customWidth="1"/>
    <col min="4867" max="4867" width="10.5703125" style="60" customWidth="1"/>
    <col min="4868" max="4868" width="7.28515625" style="60" customWidth="1"/>
    <col min="4869" max="4869" width="10.140625" style="60" customWidth="1"/>
    <col min="4870" max="4870" width="7.7109375" style="60" customWidth="1"/>
    <col min="4871" max="4871" width="9.85546875" style="60" customWidth="1"/>
    <col min="4872" max="4872" width="8.28515625" style="60" customWidth="1"/>
    <col min="4873" max="4873" width="11.140625" style="60" customWidth="1"/>
    <col min="4874" max="4874" width="7.85546875" style="60" customWidth="1"/>
    <col min="4875" max="4875" width="11.5703125" style="60" customWidth="1"/>
    <col min="4876" max="4877" width="9.140625" style="60"/>
    <col min="4878" max="4878" width="12.28515625" style="60" customWidth="1"/>
    <col min="4879" max="5102" width="9.140625" style="60"/>
    <col min="5103" max="5103" width="38" style="60" customWidth="1"/>
    <col min="5104" max="5104" width="8" style="60" customWidth="1"/>
    <col min="5105" max="5105" width="12.140625" style="60" customWidth="1"/>
    <col min="5106" max="5106" width="8.5703125" style="60" customWidth="1"/>
    <col min="5107" max="5107" width="11.42578125" style="60" customWidth="1"/>
    <col min="5108" max="5108" width="7.140625" style="60" customWidth="1"/>
    <col min="5109" max="5109" width="10.7109375" style="60" customWidth="1"/>
    <col min="5110" max="5110" width="7.42578125" style="60" customWidth="1"/>
    <col min="5111" max="5111" width="11" style="60" customWidth="1"/>
    <col min="5112" max="5112" width="8.5703125" style="60" customWidth="1"/>
    <col min="5113" max="5113" width="11" style="60" customWidth="1"/>
    <col min="5114" max="5114" width="8.42578125" style="60" customWidth="1"/>
    <col min="5115" max="5115" width="11.28515625" style="60" customWidth="1"/>
    <col min="5116" max="5116" width="7.140625" style="60" customWidth="1"/>
    <col min="5117" max="5117" width="9.42578125" style="60" customWidth="1"/>
    <col min="5118" max="5118" width="7.140625" style="60" customWidth="1"/>
    <col min="5119" max="5119" width="9.85546875" style="60" customWidth="1"/>
    <col min="5120" max="5120" width="7.85546875" style="60" customWidth="1"/>
    <col min="5121" max="5121" width="11" style="60" customWidth="1"/>
    <col min="5122" max="5122" width="7.85546875" style="60" customWidth="1"/>
    <col min="5123" max="5123" width="10.5703125" style="60" customWidth="1"/>
    <col min="5124" max="5124" width="7.28515625" style="60" customWidth="1"/>
    <col min="5125" max="5125" width="10.140625" style="60" customWidth="1"/>
    <col min="5126" max="5126" width="7.7109375" style="60" customWidth="1"/>
    <col min="5127" max="5127" width="9.85546875" style="60" customWidth="1"/>
    <col min="5128" max="5128" width="8.28515625" style="60" customWidth="1"/>
    <col min="5129" max="5129" width="11.140625" style="60" customWidth="1"/>
    <col min="5130" max="5130" width="7.85546875" style="60" customWidth="1"/>
    <col min="5131" max="5131" width="11.5703125" style="60" customWidth="1"/>
    <col min="5132" max="5133" width="9.140625" style="60"/>
    <col min="5134" max="5134" width="12.28515625" style="60" customWidth="1"/>
    <col min="5135" max="5358" width="9.140625" style="60"/>
    <col min="5359" max="5359" width="38" style="60" customWidth="1"/>
    <col min="5360" max="5360" width="8" style="60" customWidth="1"/>
    <col min="5361" max="5361" width="12.140625" style="60" customWidth="1"/>
    <col min="5362" max="5362" width="8.5703125" style="60" customWidth="1"/>
    <col min="5363" max="5363" width="11.42578125" style="60" customWidth="1"/>
    <col min="5364" max="5364" width="7.140625" style="60" customWidth="1"/>
    <col min="5365" max="5365" width="10.7109375" style="60" customWidth="1"/>
    <col min="5366" max="5366" width="7.42578125" style="60" customWidth="1"/>
    <col min="5367" max="5367" width="11" style="60" customWidth="1"/>
    <col min="5368" max="5368" width="8.5703125" style="60" customWidth="1"/>
    <col min="5369" max="5369" width="11" style="60" customWidth="1"/>
    <col min="5370" max="5370" width="8.42578125" style="60" customWidth="1"/>
    <col min="5371" max="5371" width="11.28515625" style="60" customWidth="1"/>
    <col min="5372" max="5372" width="7.140625" style="60" customWidth="1"/>
    <col min="5373" max="5373" width="9.42578125" style="60" customWidth="1"/>
    <col min="5374" max="5374" width="7.140625" style="60" customWidth="1"/>
    <col min="5375" max="5375" width="9.85546875" style="60" customWidth="1"/>
    <col min="5376" max="5376" width="7.85546875" style="60" customWidth="1"/>
    <col min="5377" max="5377" width="11" style="60" customWidth="1"/>
    <col min="5378" max="5378" width="7.85546875" style="60" customWidth="1"/>
    <col min="5379" max="5379" width="10.5703125" style="60" customWidth="1"/>
    <col min="5380" max="5380" width="7.28515625" style="60" customWidth="1"/>
    <col min="5381" max="5381" width="10.140625" style="60" customWidth="1"/>
    <col min="5382" max="5382" width="7.7109375" style="60" customWidth="1"/>
    <col min="5383" max="5383" width="9.85546875" style="60" customWidth="1"/>
    <col min="5384" max="5384" width="8.28515625" style="60" customWidth="1"/>
    <col min="5385" max="5385" width="11.140625" style="60" customWidth="1"/>
    <col min="5386" max="5386" width="7.85546875" style="60" customWidth="1"/>
    <col min="5387" max="5387" width="11.5703125" style="60" customWidth="1"/>
    <col min="5388" max="5389" width="9.140625" style="60"/>
    <col min="5390" max="5390" width="12.28515625" style="60" customWidth="1"/>
    <col min="5391" max="5614" width="9.140625" style="60"/>
    <col min="5615" max="5615" width="38" style="60" customWidth="1"/>
    <col min="5616" max="5616" width="8" style="60" customWidth="1"/>
    <col min="5617" max="5617" width="12.140625" style="60" customWidth="1"/>
    <col min="5618" max="5618" width="8.5703125" style="60" customWidth="1"/>
    <col min="5619" max="5619" width="11.42578125" style="60" customWidth="1"/>
    <col min="5620" max="5620" width="7.140625" style="60" customWidth="1"/>
    <col min="5621" max="5621" width="10.7109375" style="60" customWidth="1"/>
    <col min="5622" max="5622" width="7.42578125" style="60" customWidth="1"/>
    <col min="5623" max="5623" width="11" style="60" customWidth="1"/>
    <col min="5624" max="5624" width="8.5703125" style="60" customWidth="1"/>
    <col min="5625" max="5625" width="11" style="60" customWidth="1"/>
    <col min="5626" max="5626" width="8.42578125" style="60" customWidth="1"/>
    <col min="5627" max="5627" width="11.28515625" style="60" customWidth="1"/>
    <col min="5628" max="5628" width="7.140625" style="60" customWidth="1"/>
    <col min="5629" max="5629" width="9.42578125" style="60" customWidth="1"/>
    <col min="5630" max="5630" width="7.140625" style="60" customWidth="1"/>
    <col min="5631" max="5631" width="9.85546875" style="60" customWidth="1"/>
    <col min="5632" max="5632" width="7.85546875" style="60" customWidth="1"/>
    <col min="5633" max="5633" width="11" style="60" customWidth="1"/>
    <col min="5634" max="5634" width="7.85546875" style="60" customWidth="1"/>
    <col min="5635" max="5635" width="10.5703125" style="60" customWidth="1"/>
    <col min="5636" max="5636" width="7.28515625" style="60" customWidth="1"/>
    <col min="5637" max="5637" width="10.140625" style="60" customWidth="1"/>
    <col min="5638" max="5638" width="7.7109375" style="60" customWidth="1"/>
    <col min="5639" max="5639" width="9.85546875" style="60" customWidth="1"/>
    <col min="5640" max="5640" width="8.28515625" style="60" customWidth="1"/>
    <col min="5641" max="5641" width="11.140625" style="60" customWidth="1"/>
    <col min="5642" max="5642" width="7.85546875" style="60" customWidth="1"/>
    <col min="5643" max="5643" width="11.5703125" style="60" customWidth="1"/>
    <col min="5644" max="5645" width="9.140625" style="60"/>
    <col min="5646" max="5646" width="12.28515625" style="60" customWidth="1"/>
    <col min="5647" max="5870" width="9.140625" style="60"/>
    <col min="5871" max="5871" width="38" style="60" customWidth="1"/>
    <col min="5872" max="5872" width="8" style="60" customWidth="1"/>
    <col min="5873" max="5873" width="12.140625" style="60" customWidth="1"/>
    <col min="5874" max="5874" width="8.5703125" style="60" customWidth="1"/>
    <col min="5875" max="5875" width="11.42578125" style="60" customWidth="1"/>
    <col min="5876" max="5876" width="7.140625" style="60" customWidth="1"/>
    <col min="5877" max="5877" width="10.7109375" style="60" customWidth="1"/>
    <col min="5878" max="5878" width="7.42578125" style="60" customWidth="1"/>
    <col min="5879" max="5879" width="11" style="60" customWidth="1"/>
    <col min="5880" max="5880" width="8.5703125" style="60" customWidth="1"/>
    <col min="5881" max="5881" width="11" style="60" customWidth="1"/>
    <col min="5882" max="5882" width="8.42578125" style="60" customWidth="1"/>
    <col min="5883" max="5883" width="11.28515625" style="60" customWidth="1"/>
    <col min="5884" max="5884" width="7.140625" style="60" customWidth="1"/>
    <col min="5885" max="5885" width="9.42578125" style="60" customWidth="1"/>
    <col min="5886" max="5886" width="7.140625" style="60" customWidth="1"/>
    <col min="5887" max="5887" width="9.85546875" style="60" customWidth="1"/>
    <col min="5888" max="5888" width="7.85546875" style="60" customWidth="1"/>
    <col min="5889" max="5889" width="11" style="60" customWidth="1"/>
    <col min="5890" max="5890" width="7.85546875" style="60" customWidth="1"/>
    <col min="5891" max="5891" width="10.5703125" style="60" customWidth="1"/>
    <col min="5892" max="5892" width="7.28515625" style="60" customWidth="1"/>
    <col min="5893" max="5893" width="10.140625" style="60" customWidth="1"/>
    <col min="5894" max="5894" width="7.7109375" style="60" customWidth="1"/>
    <col min="5895" max="5895" width="9.85546875" style="60" customWidth="1"/>
    <col min="5896" max="5896" width="8.28515625" style="60" customWidth="1"/>
    <col min="5897" max="5897" width="11.140625" style="60" customWidth="1"/>
    <col min="5898" max="5898" width="7.85546875" style="60" customWidth="1"/>
    <col min="5899" max="5899" width="11.5703125" style="60" customWidth="1"/>
    <col min="5900" max="5901" width="9.140625" style="60"/>
    <col min="5902" max="5902" width="12.28515625" style="60" customWidth="1"/>
    <col min="5903" max="6126" width="9.140625" style="60"/>
    <col min="6127" max="6127" width="38" style="60" customWidth="1"/>
    <col min="6128" max="6128" width="8" style="60" customWidth="1"/>
    <col min="6129" max="6129" width="12.140625" style="60" customWidth="1"/>
    <col min="6130" max="6130" width="8.5703125" style="60" customWidth="1"/>
    <col min="6131" max="6131" width="11.42578125" style="60" customWidth="1"/>
    <col min="6132" max="6132" width="7.140625" style="60" customWidth="1"/>
    <col min="6133" max="6133" width="10.7109375" style="60" customWidth="1"/>
    <col min="6134" max="6134" width="7.42578125" style="60" customWidth="1"/>
    <col min="6135" max="6135" width="11" style="60" customWidth="1"/>
    <col min="6136" max="6136" width="8.5703125" style="60" customWidth="1"/>
    <col min="6137" max="6137" width="11" style="60" customWidth="1"/>
    <col min="6138" max="6138" width="8.42578125" style="60" customWidth="1"/>
    <col min="6139" max="6139" width="11.28515625" style="60" customWidth="1"/>
    <col min="6140" max="6140" width="7.140625" style="60" customWidth="1"/>
    <col min="6141" max="6141" width="9.42578125" style="60" customWidth="1"/>
    <col min="6142" max="6142" width="7.140625" style="60" customWidth="1"/>
    <col min="6143" max="6143" width="9.85546875" style="60" customWidth="1"/>
    <col min="6144" max="6144" width="7.85546875" style="60" customWidth="1"/>
    <col min="6145" max="6145" width="11" style="60" customWidth="1"/>
    <col min="6146" max="6146" width="7.85546875" style="60" customWidth="1"/>
    <col min="6147" max="6147" width="10.5703125" style="60" customWidth="1"/>
    <col min="6148" max="6148" width="7.28515625" style="60" customWidth="1"/>
    <col min="6149" max="6149" width="10.140625" style="60" customWidth="1"/>
    <col min="6150" max="6150" width="7.7109375" style="60" customWidth="1"/>
    <col min="6151" max="6151" width="9.85546875" style="60" customWidth="1"/>
    <col min="6152" max="6152" width="8.28515625" style="60" customWidth="1"/>
    <col min="6153" max="6153" width="11.140625" style="60" customWidth="1"/>
    <col min="6154" max="6154" width="7.85546875" style="60" customWidth="1"/>
    <col min="6155" max="6155" width="11.5703125" style="60" customWidth="1"/>
    <col min="6156" max="6157" width="9.140625" style="60"/>
    <col min="6158" max="6158" width="12.28515625" style="60" customWidth="1"/>
    <col min="6159" max="6382" width="9.140625" style="60"/>
    <col min="6383" max="6383" width="38" style="60" customWidth="1"/>
    <col min="6384" max="6384" width="8" style="60" customWidth="1"/>
    <col min="6385" max="6385" width="12.140625" style="60" customWidth="1"/>
    <col min="6386" max="6386" width="8.5703125" style="60" customWidth="1"/>
    <col min="6387" max="6387" width="11.42578125" style="60" customWidth="1"/>
    <col min="6388" max="6388" width="7.140625" style="60" customWidth="1"/>
    <col min="6389" max="6389" width="10.7109375" style="60" customWidth="1"/>
    <col min="6390" max="6390" width="7.42578125" style="60" customWidth="1"/>
    <col min="6391" max="6391" width="11" style="60" customWidth="1"/>
    <col min="6392" max="6392" width="8.5703125" style="60" customWidth="1"/>
    <col min="6393" max="6393" width="11" style="60" customWidth="1"/>
    <col min="6394" max="6394" width="8.42578125" style="60" customWidth="1"/>
    <col min="6395" max="6395" width="11.28515625" style="60" customWidth="1"/>
    <col min="6396" max="6396" width="7.140625" style="60" customWidth="1"/>
    <col min="6397" max="6397" width="9.42578125" style="60" customWidth="1"/>
    <col min="6398" max="6398" width="7.140625" style="60" customWidth="1"/>
    <col min="6399" max="6399" width="9.85546875" style="60" customWidth="1"/>
    <col min="6400" max="6400" width="7.85546875" style="60" customWidth="1"/>
    <col min="6401" max="6401" width="11" style="60" customWidth="1"/>
    <col min="6402" max="6402" width="7.85546875" style="60" customWidth="1"/>
    <col min="6403" max="6403" width="10.5703125" style="60" customWidth="1"/>
    <col min="6404" max="6404" width="7.28515625" style="60" customWidth="1"/>
    <col min="6405" max="6405" width="10.140625" style="60" customWidth="1"/>
    <col min="6406" max="6406" width="7.7109375" style="60" customWidth="1"/>
    <col min="6407" max="6407" width="9.85546875" style="60" customWidth="1"/>
    <col min="6408" max="6408" width="8.28515625" style="60" customWidth="1"/>
    <col min="6409" max="6409" width="11.140625" style="60" customWidth="1"/>
    <col min="6410" max="6410" width="7.85546875" style="60" customWidth="1"/>
    <col min="6411" max="6411" width="11.5703125" style="60" customWidth="1"/>
    <col min="6412" max="6413" width="9.140625" style="60"/>
    <col min="6414" max="6414" width="12.28515625" style="60" customWidth="1"/>
    <col min="6415" max="6638" width="9.140625" style="60"/>
    <col min="6639" max="6639" width="38" style="60" customWidth="1"/>
    <col min="6640" max="6640" width="8" style="60" customWidth="1"/>
    <col min="6641" max="6641" width="12.140625" style="60" customWidth="1"/>
    <col min="6642" max="6642" width="8.5703125" style="60" customWidth="1"/>
    <col min="6643" max="6643" width="11.42578125" style="60" customWidth="1"/>
    <col min="6644" max="6644" width="7.140625" style="60" customWidth="1"/>
    <col min="6645" max="6645" width="10.7109375" style="60" customWidth="1"/>
    <col min="6646" max="6646" width="7.42578125" style="60" customWidth="1"/>
    <col min="6647" max="6647" width="11" style="60" customWidth="1"/>
    <col min="6648" max="6648" width="8.5703125" style="60" customWidth="1"/>
    <col min="6649" max="6649" width="11" style="60" customWidth="1"/>
    <col min="6650" max="6650" width="8.42578125" style="60" customWidth="1"/>
    <col min="6651" max="6651" width="11.28515625" style="60" customWidth="1"/>
    <col min="6652" max="6652" width="7.140625" style="60" customWidth="1"/>
    <col min="6653" max="6653" width="9.42578125" style="60" customWidth="1"/>
    <col min="6654" max="6654" width="7.140625" style="60" customWidth="1"/>
    <col min="6655" max="6655" width="9.85546875" style="60" customWidth="1"/>
    <col min="6656" max="6656" width="7.85546875" style="60" customWidth="1"/>
    <col min="6657" max="6657" width="11" style="60" customWidth="1"/>
    <col min="6658" max="6658" width="7.85546875" style="60" customWidth="1"/>
    <col min="6659" max="6659" width="10.5703125" style="60" customWidth="1"/>
    <col min="6660" max="6660" width="7.28515625" style="60" customWidth="1"/>
    <col min="6661" max="6661" width="10.140625" style="60" customWidth="1"/>
    <col min="6662" max="6662" width="7.7109375" style="60" customWidth="1"/>
    <col min="6663" max="6663" width="9.85546875" style="60" customWidth="1"/>
    <col min="6664" max="6664" width="8.28515625" style="60" customWidth="1"/>
    <col min="6665" max="6665" width="11.140625" style="60" customWidth="1"/>
    <col min="6666" max="6666" width="7.85546875" style="60" customWidth="1"/>
    <col min="6667" max="6667" width="11.5703125" style="60" customWidth="1"/>
    <col min="6668" max="6669" width="9.140625" style="60"/>
    <col min="6670" max="6670" width="12.28515625" style="60" customWidth="1"/>
    <col min="6671" max="6894" width="9.140625" style="60"/>
    <col min="6895" max="6895" width="38" style="60" customWidth="1"/>
    <col min="6896" max="6896" width="8" style="60" customWidth="1"/>
    <col min="6897" max="6897" width="12.140625" style="60" customWidth="1"/>
    <col min="6898" max="6898" width="8.5703125" style="60" customWidth="1"/>
    <col min="6899" max="6899" width="11.42578125" style="60" customWidth="1"/>
    <col min="6900" max="6900" width="7.140625" style="60" customWidth="1"/>
    <col min="6901" max="6901" width="10.7109375" style="60" customWidth="1"/>
    <col min="6902" max="6902" width="7.42578125" style="60" customWidth="1"/>
    <col min="6903" max="6903" width="11" style="60" customWidth="1"/>
    <col min="6904" max="6904" width="8.5703125" style="60" customWidth="1"/>
    <col min="6905" max="6905" width="11" style="60" customWidth="1"/>
    <col min="6906" max="6906" width="8.42578125" style="60" customWidth="1"/>
    <col min="6907" max="6907" width="11.28515625" style="60" customWidth="1"/>
    <col min="6908" max="6908" width="7.140625" style="60" customWidth="1"/>
    <col min="6909" max="6909" width="9.42578125" style="60" customWidth="1"/>
    <col min="6910" max="6910" width="7.140625" style="60" customWidth="1"/>
    <col min="6911" max="6911" width="9.85546875" style="60" customWidth="1"/>
    <col min="6912" max="6912" width="7.85546875" style="60" customWidth="1"/>
    <col min="6913" max="6913" width="11" style="60" customWidth="1"/>
    <col min="6914" max="6914" width="7.85546875" style="60" customWidth="1"/>
    <col min="6915" max="6915" width="10.5703125" style="60" customWidth="1"/>
    <col min="6916" max="6916" width="7.28515625" style="60" customWidth="1"/>
    <col min="6917" max="6917" width="10.140625" style="60" customWidth="1"/>
    <col min="6918" max="6918" width="7.7109375" style="60" customWidth="1"/>
    <col min="6919" max="6919" width="9.85546875" style="60" customWidth="1"/>
    <col min="6920" max="6920" width="8.28515625" style="60" customWidth="1"/>
    <col min="6921" max="6921" width="11.140625" style="60" customWidth="1"/>
    <col min="6922" max="6922" width="7.85546875" style="60" customWidth="1"/>
    <col min="6923" max="6923" width="11.5703125" style="60" customWidth="1"/>
    <col min="6924" max="6925" width="9.140625" style="60"/>
    <col min="6926" max="6926" width="12.28515625" style="60" customWidth="1"/>
    <col min="6927" max="7150" width="9.140625" style="60"/>
    <col min="7151" max="7151" width="38" style="60" customWidth="1"/>
    <col min="7152" max="7152" width="8" style="60" customWidth="1"/>
    <col min="7153" max="7153" width="12.140625" style="60" customWidth="1"/>
    <col min="7154" max="7154" width="8.5703125" style="60" customWidth="1"/>
    <col min="7155" max="7155" width="11.42578125" style="60" customWidth="1"/>
    <col min="7156" max="7156" width="7.140625" style="60" customWidth="1"/>
    <col min="7157" max="7157" width="10.7109375" style="60" customWidth="1"/>
    <col min="7158" max="7158" width="7.42578125" style="60" customWidth="1"/>
    <col min="7159" max="7159" width="11" style="60" customWidth="1"/>
    <col min="7160" max="7160" width="8.5703125" style="60" customWidth="1"/>
    <col min="7161" max="7161" width="11" style="60" customWidth="1"/>
    <col min="7162" max="7162" width="8.42578125" style="60" customWidth="1"/>
    <col min="7163" max="7163" width="11.28515625" style="60" customWidth="1"/>
    <col min="7164" max="7164" width="7.140625" style="60" customWidth="1"/>
    <col min="7165" max="7165" width="9.42578125" style="60" customWidth="1"/>
    <col min="7166" max="7166" width="7.140625" style="60" customWidth="1"/>
    <col min="7167" max="7167" width="9.85546875" style="60" customWidth="1"/>
    <col min="7168" max="7168" width="7.85546875" style="60" customWidth="1"/>
    <col min="7169" max="7169" width="11" style="60" customWidth="1"/>
    <col min="7170" max="7170" width="7.85546875" style="60" customWidth="1"/>
    <col min="7171" max="7171" width="10.5703125" style="60" customWidth="1"/>
    <col min="7172" max="7172" width="7.28515625" style="60" customWidth="1"/>
    <col min="7173" max="7173" width="10.140625" style="60" customWidth="1"/>
    <col min="7174" max="7174" width="7.7109375" style="60" customWidth="1"/>
    <col min="7175" max="7175" width="9.85546875" style="60" customWidth="1"/>
    <col min="7176" max="7176" width="8.28515625" style="60" customWidth="1"/>
    <col min="7177" max="7177" width="11.140625" style="60" customWidth="1"/>
    <col min="7178" max="7178" width="7.85546875" style="60" customWidth="1"/>
    <col min="7179" max="7179" width="11.5703125" style="60" customWidth="1"/>
    <col min="7180" max="7181" width="9.140625" style="60"/>
    <col min="7182" max="7182" width="12.28515625" style="60" customWidth="1"/>
    <col min="7183" max="7406" width="9.140625" style="60"/>
    <col min="7407" max="7407" width="38" style="60" customWidth="1"/>
    <col min="7408" max="7408" width="8" style="60" customWidth="1"/>
    <col min="7409" max="7409" width="12.140625" style="60" customWidth="1"/>
    <col min="7410" max="7410" width="8.5703125" style="60" customWidth="1"/>
    <col min="7411" max="7411" width="11.42578125" style="60" customWidth="1"/>
    <col min="7412" max="7412" width="7.140625" style="60" customWidth="1"/>
    <col min="7413" max="7413" width="10.7109375" style="60" customWidth="1"/>
    <col min="7414" max="7414" width="7.42578125" style="60" customWidth="1"/>
    <col min="7415" max="7415" width="11" style="60" customWidth="1"/>
    <col min="7416" max="7416" width="8.5703125" style="60" customWidth="1"/>
    <col min="7417" max="7417" width="11" style="60" customWidth="1"/>
    <col min="7418" max="7418" width="8.42578125" style="60" customWidth="1"/>
    <col min="7419" max="7419" width="11.28515625" style="60" customWidth="1"/>
    <col min="7420" max="7420" width="7.140625" style="60" customWidth="1"/>
    <col min="7421" max="7421" width="9.42578125" style="60" customWidth="1"/>
    <col min="7422" max="7422" width="7.140625" style="60" customWidth="1"/>
    <col min="7423" max="7423" width="9.85546875" style="60" customWidth="1"/>
    <col min="7424" max="7424" width="7.85546875" style="60" customWidth="1"/>
    <col min="7425" max="7425" width="11" style="60" customWidth="1"/>
    <col min="7426" max="7426" width="7.85546875" style="60" customWidth="1"/>
    <col min="7427" max="7427" width="10.5703125" style="60" customWidth="1"/>
    <col min="7428" max="7428" width="7.28515625" style="60" customWidth="1"/>
    <col min="7429" max="7429" width="10.140625" style="60" customWidth="1"/>
    <col min="7430" max="7430" width="7.7109375" style="60" customWidth="1"/>
    <col min="7431" max="7431" width="9.85546875" style="60" customWidth="1"/>
    <col min="7432" max="7432" width="8.28515625" style="60" customWidth="1"/>
    <col min="7433" max="7433" width="11.140625" style="60" customWidth="1"/>
    <col min="7434" max="7434" width="7.85546875" style="60" customWidth="1"/>
    <col min="7435" max="7435" width="11.5703125" style="60" customWidth="1"/>
    <col min="7436" max="7437" width="9.140625" style="60"/>
    <col min="7438" max="7438" width="12.28515625" style="60" customWidth="1"/>
    <col min="7439" max="7662" width="9.140625" style="60"/>
    <col min="7663" max="7663" width="38" style="60" customWidth="1"/>
    <col min="7664" max="7664" width="8" style="60" customWidth="1"/>
    <col min="7665" max="7665" width="12.140625" style="60" customWidth="1"/>
    <col min="7666" max="7666" width="8.5703125" style="60" customWidth="1"/>
    <col min="7667" max="7667" width="11.42578125" style="60" customWidth="1"/>
    <col min="7668" max="7668" width="7.140625" style="60" customWidth="1"/>
    <col min="7669" max="7669" width="10.7109375" style="60" customWidth="1"/>
    <col min="7670" max="7670" width="7.42578125" style="60" customWidth="1"/>
    <col min="7671" max="7671" width="11" style="60" customWidth="1"/>
    <col min="7672" max="7672" width="8.5703125" style="60" customWidth="1"/>
    <col min="7673" max="7673" width="11" style="60" customWidth="1"/>
    <col min="7674" max="7674" width="8.42578125" style="60" customWidth="1"/>
    <col min="7675" max="7675" width="11.28515625" style="60" customWidth="1"/>
    <col min="7676" max="7676" width="7.140625" style="60" customWidth="1"/>
    <col min="7677" max="7677" width="9.42578125" style="60" customWidth="1"/>
    <col min="7678" max="7678" width="7.140625" style="60" customWidth="1"/>
    <col min="7679" max="7679" width="9.85546875" style="60" customWidth="1"/>
    <col min="7680" max="7680" width="7.85546875" style="60" customWidth="1"/>
    <col min="7681" max="7681" width="11" style="60" customWidth="1"/>
    <col min="7682" max="7682" width="7.85546875" style="60" customWidth="1"/>
    <col min="7683" max="7683" width="10.5703125" style="60" customWidth="1"/>
    <col min="7684" max="7684" width="7.28515625" style="60" customWidth="1"/>
    <col min="7685" max="7685" width="10.140625" style="60" customWidth="1"/>
    <col min="7686" max="7686" width="7.7109375" style="60" customWidth="1"/>
    <col min="7687" max="7687" width="9.85546875" style="60" customWidth="1"/>
    <col min="7688" max="7688" width="8.28515625" style="60" customWidth="1"/>
    <col min="7689" max="7689" width="11.140625" style="60" customWidth="1"/>
    <col min="7690" max="7690" width="7.85546875" style="60" customWidth="1"/>
    <col min="7691" max="7691" width="11.5703125" style="60" customWidth="1"/>
    <col min="7692" max="7693" width="9.140625" style="60"/>
    <col min="7694" max="7694" width="12.28515625" style="60" customWidth="1"/>
    <col min="7695" max="7918" width="9.140625" style="60"/>
    <col min="7919" max="7919" width="38" style="60" customWidth="1"/>
    <col min="7920" max="7920" width="8" style="60" customWidth="1"/>
    <col min="7921" max="7921" width="12.140625" style="60" customWidth="1"/>
    <col min="7922" max="7922" width="8.5703125" style="60" customWidth="1"/>
    <col min="7923" max="7923" width="11.42578125" style="60" customWidth="1"/>
    <col min="7924" max="7924" width="7.140625" style="60" customWidth="1"/>
    <col min="7925" max="7925" width="10.7109375" style="60" customWidth="1"/>
    <col min="7926" max="7926" width="7.42578125" style="60" customWidth="1"/>
    <col min="7927" max="7927" width="11" style="60" customWidth="1"/>
    <col min="7928" max="7928" width="8.5703125" style="60" customWidth="1"/>
    <col min="7929" max="7929" width="11" style="60" customWidth="1"/>
    <col min="7930" max="7930" width="8.42578125" style="60" customWidth="1"/>
    <col min="7931" max="7931" width="11.28515625" style="60" customWidth="1"/>
    <col min="7932" max="7932" width="7.140625" style="60" customWidth="1"/>
    <col min="7933" max="7933" width="9.42578125" style="60" customWidth="1"/>
    <col min="7934" max="7934" width="7.140625" style="60" customWidth="1"/>
    <col min="7935" max="7935" width="9.85546875" style="60" customWidth="1"/>
    <col min="7936" max="7936" width="7.85546875" style="60" customWidth="1"/>
    <col min="7937" max="7937" width="11" style="60" customWidth="1"/>
    <col min="7938" max="7938" width="7.85546875" style="60" customWidth="1"/>
    <col min="7939" max="7939" width="10.5703125" style="60" customWidth="1"/>
    <col min="7940" max="7940" width="7.28515625" style="60" customWidth="1"/>
    <col min="7941" max="7941" width="10.140625" style="60" customWidth="1"/>
    <col min="7942" max="7942" width="7.7109375" style="60" customWidth="1"/>
    <col min="7943" max="7943" width="9.85546875" style="60" customWidth="1"/>
    <col min="7944" max="7944" width="8.28515625" style="60" customWidth="1"/>
    <col min="7945" max="7945" width="11.140625" style="60" customWidth="1"/>
    <col min="7946" max="7946" width="7.85546875" style="60" customWidth="1"/>
    <col min="7947" max="7947" width="11.5703125" style="60" customWidth="1"/>
    <col min="7948" max="7949" width="9.140625" style="60"/>
    <col min="7950" max="7950" width="12.28515625" style="60" customWidth="1"/>
    <col min="7951" max="8174" width="9.140625" style="60"/>
    <col min="8175" max="8175" width="38" style="60" customWidth="1"/>
    <col min="8176" max="8176" width="8" style="60" customWidth="1"/>
    <col min="8177" max="8177" width="12.140625" style="60" customWidth="1"/>
    <col min="8178" max="8178" width="8.5703125" style="60" customWidth="1"/>
    <col min="8179" max="8179" width="11.42578125" style="60" customWidth="1"/>
    <col min="8180" max="8180" width="7.140625" style="60" customWidth="1"/>
    <col min="8181" max="8181" width="10.7109375" style="60" customWidth="1"/>
    <col min="8182" max="8182" width="7.42578125" style="60" customWidth="1"/>
    <col min="8183" max="8183" width="11" style="60" customWidth="1"/>
    <col min="8184" max="8184" width="8.5703125" style="60" customWidth="1"/>
    <col min="8185" max="8185" width="11" style="60" customWidth="1"/>
    <col min="8186" max="8186" width="8.42578125" style="60" customWidth="1"/>
    <col min="8187" max="8187" width="11.28515625" style="60" customWidth="1"/>
    <col min="8188" max="8188" width="7.140625" style="60" customWidth="1"/>
    <col min="8189" max="8189" width="9.42578125" style="60" customWidth="1"/>
    <col min="8190" max="8190" width="7.140625" style="60" customWidth="1"/>
    <col min="8191" max="8191" width="9.85546875" style="60" customWidth="1"/>
    <col min="8192" max="8192" width="7.85546875" style="60" customWidth="1"/>
    <col min="8193" max="8193" width="11" style="60" customWidth="1"/>
    <col min="8194" max="8194" width="7.85546875" style="60" customWidth="1"/>
    <col min="8195" max="8195" width="10.5703125" style="60" customWidth="1"/>
    <col min="8196" max="8196" width="7.28515625" style="60" customWidth="1"/>
    <col min="8197" max="8197" width="10.140625" style="60" customWidth="1"/>
    <col min="8198" max="8198" width="7.7109375" style="60" customWidth="1"/>
    <col min="8199" max="8199" width="9.85546875" style="60" customWidth="1"/>
    <col min="8200" max="8200" width="8.28515625" style="60" customWidth="1"/>
    <col min="8201" max="8201" width="11.140625" style="60" customWidth="1"/>
    <col min="8202" max="8202" width="7.85546875" style="60" customWidth="1"/>
    <col min="8203" max="8203" width="11.5703125" style="60" customWidth="1"/>
    <col min="8204" max="8205" width="9.140625" style="60"/>
    <col min="8206" max="8206" width="12.28515625" style="60" customWidth="1"/>
    <col min="8207" max="8430" width="9.140625" style="60"/>
    <col min="8431" max="8431" width="38" style="60" customWidth="1"/>
    <col min="8432" max="8432" width="8" style="60" customWidth="1"/>
    <col min="8433" max="8433" width="12.140625" style="60" customWidth="1"/>
    <col min="8434" max="8434" width="8.5703125" style="60" customWidth="1"/>
    <col min="8435" max="8435" width="11.42578125" style="60" customWidth="1"/>
    <col min="8436" max="8436" width="7.140625" style="60" customWidth="1"/>
    <col min="8437" max="8437" width="10.7109375" style="60" customWidth="1"/>
    <col min="8438" max="8438" width="7.42578125" style="60" customWidth="1"/>
    <col min="8439" max="8439" width="11" style="60" customWidth="1"/>
    <col min="8440" max="8440" width="8.5703125" style="60" customWidth="1"/>
    <col min="8441" max="8441" width="11" style="60" customWidth="1"/>
    <col min="8442" max="8442" width="8.42578125" style="60" customWidth="1"/>
    <col min="8443" max="8443" width="11.28515625" style="60" customWidth="1"/>
    <col min="8444" max="8444" width="7.140625" style="60" customWidth="1"/>
    <col min="8445" max="8445" width="9.42578125" style="60" customWidth="1"/>
    <col min="8446" max="8446" width="7.140625" style="60" customWidth="1"/>
    <col min="8447" max="8447" width="9.85546875" style="60" customWidth="1"/>
    <col min="8448" max="8448" width="7.85546875" style="60" customWidth="1"/>
    <col min="8449" max="8449" width="11" style="60" customWidth="1"/>
    <col min="8450" max="8450" width="7.85546875" style="60" customWidth="1"/>
    <col min="8451" max="8451" width="10.5703125" style="60" customWidth="1"/>
    <col min="8452" max="8452" width="7.28515625" style="60" customWidth="1"/>
    <col min="8453" max="8453" width="10.140625" style="60" customWidth="1"/>
    <col min="8454" max="8454" width="7.7109375" style="60" customWidth="1"/>
    <col min="8455" max="8455" width="9.85546875" style="60" customWidth="1"/>
    <col min="8456" max="8456" width="8.28515625" style="60" customWidth="1"/>
    <col min="8457" max="8457" width="11.140625" style="60" customWidth="1"/>
    <col min="8458" max="8458" width="7.85546875" style="60" customWidth="1"/>
    <col min="8459" max="8459" width="11.5703125" style="60" customWidth="1"/>
    <col min="8460" max="8461" width="9.140625" style="60"/>
    <col min="8462" max="8462" width="12.28515625" style="60" customWidth="1"/>
    <col min="8463" max="8686" width="9.140625" style="60"/>
    <col min="8687" max="8687" width="38" style="60" customWidth="1"/>
    <col min="8688" max="8688" width="8" style="60" customWidth="1"/>
    <col min="8689" max="8689" width="12.140625" style="60" customWidth="1"/>
    <col min="8690" max="8690" width="8.5703125" style="60" customWidth="1"/>
    <col min="8691" max="8691" width="11.42578125" style="60" customWidth="1"/>
    <col min="8692" max="8692" width="7.140625" style="60" customWidth="1"/>
    <col min="8693" max="8693" width="10.7109375" style="60" customWidth="1"/>
    <col min="8694" max="8694" width="7.42578125" style="60" customWidth="1"/>
    <col min="8695" max="8695" width="11" style="60" customWidth="1"/>
    <col min="8696" max="8696" width="8.5703125" style="60" customWidth="1"/>
    <col min="8697" max="8697" width="11" style="60" customWidth="1"/>
    <col min="8698" max="8698" width="8.42578125" style="60" customWidth="1"/>
    <col min="8699" max="8699" width="11.28515625" style="60" customWidth="1"/>
    <col min="8700" max="8700" width="7.140625" style="60" customWidth="1"/>
    <col min="8701" max="8701" width="9.42578125" style="60" customWidth="1"/>
    <col min="8702" max="8702" width="7.140625" style="60" customWidth="1"/>
    <col min="8703" max="8703" width="9.85546875" style="60" customWidth="1"/>
    <col min="8704" max="8704" width="7.85546875" style="60" customWidth="1"/>
    <col min="8705" max="8705" width="11" style="60" customWidth="1"/>
    <col min="8706" max="8706" width="7.85546875" style="60" customWidth="1"/>
    <col min="8707" max="8707" width="10.5703125" style="60" customWidth="1"/>
    <col min="8708" max="8708" width="7.28515625" style="60" customWidth="1"/>
    <col min="8709" max="8709" width="10.140625" style="60" customWidth="1"/>
    <col min="8710" max="8710" width="7.7109375" style="60" customWidth="1"/>
    <col min="8711" max="8711" width="9.85546875" style="60" customWidth="1"/>
    <col min="8712" max="8712" width="8.28515625" style="60" customWidth="1"/>
    <col min="8713" max="8713" width="11.140625" style="60" customWidth="1"/>
    <col min="8714" max="8714" width="7.85546875" style="60" customWidth="1"/>
    <col min="8715" max="8715" width="11.5703125" style="60" customWidth="1"/>
    <col min="8716" max="8717" width="9.140625" style="60"/>
    <col min="8718" max="8718" width="12.28515625" style="60" customWidth="1"/>
    <col min="8719" max="8942" width="9.140625" style="60"/>
    <col min="8943" max="8943" width="38" style="60" customWidth="1"/>
    <col min="8944" max="8944" width="8" style="60" customWidth="1"/>
    <col min="8945" max="8945" width="12.140625" style="60" customWidth="1"/>
    <col min="8946" max="8946" width="8.5703125" style="60" customWidth="1"/>
    <col min="8947" max="8947" width="11.42578125" style="60" customWidth="1"/>
    <col min="8948" max="8948" width="7.140625" style="60" customWidth="1"/>
    <col min="8949" max="8949" width="10.7109375" style="60" customWidth="1"/>
    <col min="8950" max="8950" width="7.42578125" style="60" customWidth="1"/>
    <col min="8951" max="8951" width="11" style="60" customWidth="1"/>
    <col min="8952" max="8952" width="8.5703125" style="60" customWidth="1"/>
    <col min="8953" max="8953" width="11" style="60" customWidth="1"/>
    <col min="8954" max="8954" width="8.42578125" style="60" customWidth="1"/>
    <col min="8955" max="8955" width="11.28515625" style="60" customWidth="1"/>
    <col min="8956" max="8956" width="7.140625" style="60" customWidth="1"/>
    <col min="8957" max="8957" width="9.42578125" style="60" customWidth="1"/>
    <col min="8958" max="8958" width="7.140625" style="60" customWidth="1"/>
    <col min="8959" max="8959" width="9.85546875" style="60" customWidth="1"/>
    <col min="8960" max="8960" width="7.85546875" style="60" customWidth="1"/>
    <col min="8961" max="8961" width="11" style="60" customWidth="1"/>
    <col min="8962" max="8962" width="7.85546875" style="60" customWidth="1"/>
    <col min="8963" max="8963" width="10.5703125" style="60" customWidth="1"/>
    <col min="8964" max="8964" width="7.28515625" style="60" customWidth="1"/>
    <col min="8965" max="8965" width="10.140625" style="60" customWidth="1"/>
    <col min="8966" max="8966" width="7.7109375" style="60" customWidth="1"/>
    <col min="8967" max="8967" width="9.85546875" style="60" customWidth="1"/>
    <col min="8968" max="8968" width="8.28515625" style="60" customWidth="1"/>
    <col min="8969" max="8969" width="11.140625" style="60" customWidth="1"/>
    <col min="8970" max="8970" width="7.85546875" style="60" customWidth="1"/>
    <col min="8971" max="8971" width="11.5703125" style="60" customWidth="1"/>
    <col min="8972" max="8973" width="9.140625" style="60"/>
    <col min="8974" max="8974" width="12.28515625" style="60" customWidth="1"/>
    <col min="8975" max="9198" width="9.140625" style="60"/>
    <col min="9199" max="9199" width="38" style="60" customWidth="1"/>
    <col min="9200" max="9200" width="8" style="60" customWidth="1"/>
    <col min="9201" max="9201" width="12.140625" style="60" customWidth="1"/>
    <col min="9202" max="9202" width="8.5703125" style="60" customWidth="1"/>
    <col min="9203" max="9203" width="11.42578125" style="60" customWidth="1"/>
    <col min="9204" max="9204" width="7.140625" style="60" customWidth="1"/>
    <col min="9205" max="9205" width="10.7109375" style="60" customWidth="1"/>
    <col min="9206" max="9206" width="7.42578125" style="60" customWidth="1"/>
    <col min="9207" max="9207" width="11" style="60" customWidth="1"/>
    <col min="9208" max="9208" width="8.5703125" style="60" customWidth="1"/>
    <col min="9209" max="9209" width="11" style="60" customWidth="1"/>
    <col min="9210" max="9210" width="8.42578125" style="60" customWidth="1"/>
    <col min="9211" max="9211" width="11.28515625" style="60" customWidth="1"/>
    <col min="9212" max="9212" width="7.140625" style="60" customWidth="1"/>
    <col min="9213" max="9213" width="9.42578125" style="60" customWidth="1"/>
    <col min="9214" max="9214" width="7.140625" style="60" customWidth="1"/>
    <col min="9215" max="9215" width="9.85546875" style="60" customWidth="1"/>
    <col min="9216" max="9216" width="7.85546875" style="60" customWidth="1"/>
    <col min="9217" max="9217" width="11" style="60" customWidth="1"/>
    <col min="9218" max="9218" width="7.85546875" style="60" customWidth="1"/>
    <col min="9219" max="9219" width="10.5703125" style="60" customWidth="1"/>
    <col min="9220" max="9220" width="7.28515625" style="60" customWidth="1"/>
    <col min="9221" max="9221" width="10.140625" style="60" customWidth="1"/>
    <col min="9222" max="9222" width="7.7109375" style="60" customWidth="1"/>
    <col min="9223" max="9223" width="9.85546875" style="60" customWidth="1"/>
    <col min="9224" max="9224" width="8.28515625" style="60" customWidth="1"/>
    <col min="9225" max="9225" width="11.140625" style="60" customWidth="1"/>
    <col min="9226" max="9226" width="7.85546875" style="60" customWidth="1"/>
    <col min="9227" max="9227" width="11.5703125" style="60" customWidth="1"/>
    <col min="9228" max="9229" width="9.140625" style="60"/>
    <col min="9230" max="9230" width="12.28515625" style="60" customWidth="1"/>
    <col min="9231" max="9454" width="9.140625" style="60"/>
    <col min="9455" max="9455" width="38" style="60" customWidth="1"/>
    <col min="9456" max="9456" width="8" style="60" customWidth="1"/>
    <col min="9457" max="9457" width="12.140625" style="60" customWidth="1"/>
    <col min="9458" max="9458" width="8.5703125" style="60" customWidth="1"/>
    <col min="9459" max="9459" width="11.42578125" style="60" customWidth="1"/>
    <col min="9460" max="9460" width="7.140625" style="60" customWidth="1"/>
    <col min="9461" max="9461" width="10.7109375" style="60" customWidth="1"/>
    <col min="9462" max="9462" width="7.42578125" style="60" customWidth="1"/>
    <col min="9463" max="9463" width="11" style="60" customWidth="1"/>
    <col min="9464" max="9464" width="8.5703125" style="60" customWidth="1"/>
    <col min="9465" max="9465" width="11" style="60" customWidth="1"/>
    <col min="9466" max="9466" width="8.42578125" style="60" customWidth="1"/>
    <col min="9467" max="9467" width="11.28515625" style="60" customWidth="1"/>
    <col min="9468" max="9468" width="7.140625" style="60" customWidth="1"/>
    <col min="9469" max="9469" width="9.42578125" style="60" customWidth="1"/>
    <col min="9470" max="9470" width="7.140625" style="60" customWidth="1"/>
    <col min="9471" max="9471" width="9.85546875" style="60" customWidth="1"/>
    <col min="9472" max="9472" width="7.85546875" style="60" customWidth="1"/>
    <col min="9473" max="9473" width="11" style="60" customWidth="1"/>
    <col min="9474" max="9474" width="7.85546875" style="60" customWidth="1"/>
    <col min="9475" max="9475" width="10.5703125" style="60" customWidth="1"/>
    <col min="9476" max="9476" width="7.28515625" style="60" customWidth="1"/>
    <col min="9477" max="9477" width="10.140625" style="60" customWidth="1"/>
    <col min="9478" max="9478" width="7.7109375" style="60" customWidth="1"/>
    <col min="9479" max="9479" width="9.85546875" style="60" customWidth="1"/>
    <col min="9480" max="9480" width="8.28515625" style="60" customWidth="1"/>
    <col min="9481" max="9481" width="11.140625" style="60" customWidth="1"/>
    <col min="9482" max="9482" width="7.85546875" style="60" customWidth="1"/>
    <col min="9483" max="9483" width="11.5703125" style="60" customWidth="1"/>
    <col min="9484" max="9485" width="9.140625" style="60"/>
    <col min="9486" max="9486" width="12.28515625" style="60" customWidth="1"/>
    <col min="9487" max="9710" width="9.140625" style="60"/>
    <col min="9711" max="9711" width="38" style="60" customWidth="1"/>
    <col min="9712" max="9712" width="8" style="60" customWidth="1"/>
    <col min="9713" max="9713" width="12.140625" style="60" customWidth="1"/>
    <col min="9714" max="9714" width="8.5703125" style="60" customWidth="1"/>
    <col min="9715" max="9715" width="11.42578125" style="60" customWidth="1"/>
    <col min="9716" max="9716" width="7.140625" style="60" customWidth="1"/>
    <col min="9717" max="9717" width="10.7109375" style="60" customWidth="1"/>
    <col min="9718" max="9718" width="7.42578125" style="60" customWidth="1"/>
    <col min="9719" max="9719" width="11" style="60" customWidth="1"/>
    <col min="9720" max="9720" width="8.5703125" style="60" customWidth="1"/>
    <col min="9721" max="9721" width="11" style="60" customWidth="1"/>
    <col min="9722" max="9722" width="8.42578125" style="60" customWidth="1"/>
    <col min="9723" max="9723" width="11.28515625" style="60" customWidth="1"/>
    <col min="9724" max="9724" width="7.140625" style="60" customWidth="1"/>
    <col min="9725" max="9725" width="9.42578125" style="60" customWidth="1"/>
    <col min="9726" max="9726" width="7.140625" style="60" customWidth="1"/>
    <col min="9727" max="9727" width="9.85546875" style="60" customWidth="1"/>
    <col min="9728" max="9728" width="7.85546875" style="60" customWidth="1"/>
    <col min="9729" max="9729" width="11" style="60" customWidth="1"/>
    <col min="9730" max="9730" width="7.85546875" style="60" customWidth="1"/>
    <col min="9731" max="9731" width="10.5703125" style="60" customWidth="1"/>
    <col min="9732" max="9732" width="7.28515625" style="60" customWidth="1"/>
    <col min="9733" max="9733" width="10.140625" style="60" customWidth="1"/>
    <col min="9734" max="9734" width="7.7109375" style="60" customWidth="1"/>
    <col min="9735" max="9735" width="9.85546875" style="60" customWidth="1"/>
    <col min="9736" max="9736" width="8.28515625" style="60" customWidth="1"/>
    <col min="9737" max="9737" width="11.140625" style="60" customWidth="1"/>
    <col min="9738" max="9738" width="7.85546875" style="60" customWidth="1"/>
    <col min="9739" max="9739" width="11.5703125" style="60" customWidth="1"/>
    <col min="9740" max="9741" width="9.140625" style="60"/>
    <col min="9742" max="9742" width="12.28515625" style="60" customWidth="1"/>
    <col min="9743" max="9966" width="9.140625" style="60"/>
    <col min="9967" max="9967" width="38" style="60" customWidth="1"/>
    <col min="9968" max="9968" width="8" style="60" customWidth="1"/>
    <col min="9969" max="9969" width="12.140625" style="60" customWidth="1"/>
    <col min="9970" max="9970" width="8.5703125" style="60" customWidth="1"/>
    <col min="9971" max="9971" width="11.42578125" style="60" customWidth="1"/>
    <col min="9972" max="9972" width="7.140625" style="60" customWidth="1"/>
    <col min="9973" max="9973" width="10.7109375" style="60" customWidth="1"/>
    <col min="9974" max="9974" width="7.42578125" style="60" customWidth="1"/>
    <col min="9975" max="9975" width="11" style="60" customWidth="1"/>
    <col min="9976" max="9976" width="8.5703125" style="60" customWidth="1"/>
    <col min="9977" max="9977" width="11" style="60" customWidth="1"/>
    <col min="9978" max="9978" width="8.42578125" style="60" customWidth="1"/>
    <col min="9979" max="9979" width="11.28515625" style="60" customWidth="1"/>
    <col min="9980" max="9980" width="7.140625" style="60" customWidth="1"/>
    <col min="9981" max="9981" width="9.42578125" style="60" customWidth="1"/>
    <col min="9982" max="9982" width="7.140625" style="60" customWidth="1"/>
    <col min="9983" max="9983" width="9.85546875" style="60" customWidth="1"/>
    <col min="9984" max="9984" width="7.85546875" style="60" customWidth="1"/>
    <col min="9985" max="9985" width="11" style="60" customWidth="1"/>
    <col min="9986" max="9986" width="7.85546875" style="60" customWidth="1"/>
    <col min="9987" max="9987" width="10.5703125" style="60" customWidth="1"/>
    <col min="9988" max="9988" width="7.28515625" style="60" customWidth="1"/>
    <col min="9989" max="9989" width="10.140625" style="60" customWidth="1"/>
    <col min="9990" max="9990" width="7.7109375" style="60" customWidth="1"/>
    <col min="9991" max="9991" width="9.85546875" style="60" customWidth="1"/>
    <col min="9992" max="9992" width="8.28515625" style="60" customWidth="1"/>
    <col min="9993" max="9993" width="11.140625" style="60" customWidth="1"/>
    <col min="9994" max="9994" width="7.85546875" style="60" customWidth="1"/>
    <col min="9995" max="9995" width="11.5703125" style="60" customWidth="1"/>
    <col min="9996" max="9997" width="9.140625" style="60"/>
    <col min="9998" max="9998" width="12.28515625" style="60" customWidth="1"/>
    <col min="9999" max="10222" width="9.140625" style="60"/>
    <col min="10223" max="10223" width="38" style="60" customWidth="1"/>
    <col min="10224" max="10224" width="8" style="60" customWidth="1"/>
    <col min="10225" max="10225" width="12.140625" style="60" customWidth="1"/>
    <col min="10226" max="10226" width="8.5703125" style="60" customWidth="1"/>
    <col min="10227" max="10227" width="11.42578125" style="60" customWidth="1"/>
    <col min="10228" max="10228" width="7.140625" style="60" customWidth="1"/>
    <col min="10229" max="10229" width="10.7109375" style="60" customWidth="1"/>
    <col min="10230" max="10230" width="7.42578125" style="60" customWidth="1"/>
    <col min="10231" max="10231" width="11" style="60" customWidth="1"/>
    <col min="10232" max="10232" width="8.5703125" style="60" customWidth="1"/>
    <col min="10233" max="10233" width="11" style="60" customWidth="1"/>
    <col min="10234" max="10234" width="8.42578125" style="60" customWidth="1"/>
    <col min="10235" max="10235" width="11.28515625" style="60" customWidth="1"/>
    <col min="10236" max="10236" width="7.140625" style="60" customWidth="1"/>
    <col min="10237" max="10237" width="9.42578125" style="60" customWidth="1"/>
    <col min="10238" max="10238" width="7.140625" style="60" customWidth="1"/>
    <col min="10239" max="10239" width="9.85546875" style="60" customWidth="1"/>
    <col min="10240" max="10240" width="7.85546875" style="60" customWidth="1"/>
    <col min="10241" max="10241" width="11" style="60" customWidth="1"/>
    <col min="10242" max="10242" width="7.85546875" style="60" customWidth="1"/>
    <col min="10243" max="10243" width="10.5703125" style="60" customWidth="1"/>
    <col min="10244" max="10244" width="7.28515625" style="60" customWidth="1"/>
    <col min="10245" max="10245" width="10.140625" style="60" customWidth="1"/>
    <col min="10246" max="10246" width="7.7109375" style="60" customWidth="1"/>
    <col min="10247" max="10247" width="9.85546875" style="60" customWidth="1"/>
    <col min="10248" max="10248" width="8.28515625" style="60" customWidth="1"/>
    <col min="10249" max="10249" width="11.140625" style="60" customWidth="1"/>
    <col min="10250" max="10250" width="7.85546875" style="60" customWidth="1"/>
    <col min="10251" max="10251" width="11.5703125" style="60" customWidth="1"/>
    <col min="10252" max="10253" width="9.140625" style="60"/>
    <col min="10254" max="10254" width="12.28515625" style="60" customWidth="1"/>
    <col min="10255" max="10478" width="9.140625" style="60"/>
    <col min="10479" max="10479" width="38" style="60" customWidth="1"/>
    <col min="10480" max="10480" width="8" style="60" customWidth="1"/>
    <col min="10481" max="10481" width="12.140625" style="60" customWidth="1"/>
    <col min="10482" max="10482" width="8.5703125" style="60" customWidth="1"/>
    <col min="10483" max="10483" width="11.42578125" style="60" customWidth="1"/>
    <col min="10484" max="10484" width="7.140625" style="60" customWidth="1"/>
    <col min="10485" max="10485" width="10.7109375" style="60" customWidth="1"/>
    <col min="10486" max="10486" width="7.42578125" style="60" customWidth="1"/>
    <col min="10487" max="10487" width="11" style="60" customWidth="1"/>
    <col min="10488" max="10488" width="8.5703125" style="60" customWidth="1"/>
    <col min="10489" max="10489" width="11" style="60" customWidth="1"/>
    <col min="10490" max="10490" width="8.42578125" style="60" customWidth="1"/>
    <col min="10491" max="10491" width="11.28515625" style="60" customWidth="1"/>
    <col min="10492" max="10492" width="7.140625" style="60" customWidth="1"/>
    <col min="10493" max="10493" width="9.42578125" style="60" customWidth="1"/>
    <col min="10494" max="10494" width="7.140625" style="60" customWidth="1"/>
    <col min="10495" max="10495" width="9.85546875" style="60" customWidth="1"/>
    <col min="10496" max="10496" width="7.85546875" style="60" customWidth="1"/>
    <col min="10497" max="10497" width="11" style="60" customWidth="1"/>
    <col min="10498" max="10498" width="7.85546875" style="60" customWidth="1"/>
    <col min="10499" max="10499" width="10.5703125" style="60" customWidth="1"/>
    <col min="10500" max="10500" width="7.28515625" style="60" customWidth="1"/>
    <col min="10501" max="10501" width="10.140625" style="60" customWidth="1"/>
    <col min="10502" max="10502" width="7.7109375" style="60" customWidth="1"/>
    <col min="10503" max="10503" width="9.85546875" style="60" customWidth="1"/>
    <col min="10504" max="10504" width="8.28515625" style="60" customWidth="1"/>
    <col min="10505" max="10505" width="11.140625" style="60" customWidth="1"/>
    <col min="10506" max="10506" width="7.85546875" style="60" customWidth="1"/>
    <col min="10507" max="10507" width="11.5703125" style="60" customWidth="1"/>
    <col min="10508" max="10509" width="9.140625" style="60"/>
    <col min="10510" max="10510" width="12.28515625" style="60" customWidth="1"/>
    <col min="10511" max="10734" width="9.140625" style="60"/>
    <col min="10735" max="10735" width="38" style="60" customWidth="1"/>
    <col min="10736" max="10736" width="8" style="60" customWidth="1"/>
    <col min="10737" max="10737" width="12.140625" style="60" customWidth="1"/>
    <col min="10738" max="10738" width="8.5703125" style="60" customWidth="1"/>
    <col min="10739" max="10739" width="11.42578125" style="60" customWidth="1"/>
    <col min="10740" max="10740" width="7.140625" style="60" customWidth="1"/>
    <col min="10741" max="10741" width="10.7109375" style="60" customWidth="1"/>
    <col min="10742" max="10742" width="7.42578125" style="60" customWidth="1"/>
    <col min="10743" max="10743" width="11" style="60" customWidth="1"/>
    <col min="10744" max="10744" width="8.5703125" style="60" customWidth="1"/>
    <col min="10745" max="10745" width="11" style="60" customWidth="1"/>
    <col min="10746" max="10746" width="8.42578125" style="60" customWidth="1"/>
    <col min="10747" max="10747" width="11.28515625" style="60" customWidth="1"/>
    <col min="10748" max="10748" width="7.140625" style="60" customWidth="1"/>
    <col min="10749" max="10749" width="9.42578125" style="60" customWidth="1"/>
    <col min="10750" max="10750" width="7.140625" style="60" customWidth="1"/>
    <col min="10751" max="10751" width="9.85546875" style="60" customWidth="1"/>
    <col min="10752" max="10752" width="7.85546875" style="60" customWidth="1"/>
    <col min="10753" max="10753" width="11" style="60" customWidth="1"/>
    <col min="10754" max="10754" width="7.85546875" style="60" customWidth="1"/>
    <col min="10755" max="10755" width="10.5703125" style="60" customWidth="1"/>
    <col min="10756" max="10756" width="7.28515625" style="60" customWidth="1"/>
    <col min="10757" max="10757" width="10.140625" style="60" customWidth="1"/>
    <col min="10758" max="10758" width="7.7109375" style="60" customWidth="1"/>
    <col min="10759" max="10759" width="9.85546875" style="60" customWidth="1"/>
    <col min="10760" max="10760" width="8.28515625" style="60" customWidth="1"/>
    <col min="10761" max="10761" width="11.140625" style="60" customWidth="1"/>
    <col min="10762" max="10762" width="7.85546875" style="60" customWidth="1"/>
    <col min="10763" max="10763" width="11.5703125" style="60" customWidth="1"/>
    <col min="10764" max="10765" width="9.140625" style="60"/>
    <col min="10766" max="10766" width="12.28515625" style="60" customWidth="1"/>
    <col min="10767" max="10990" width="9.140625" style="60"/>
    <col min="10991" max="10991" width="38" style="60" customWidth="1"/>
    <col min="10992" max="10992" width="8" style="60" customWidth="1"/>
    <col min="10993" max="10993" width="12.140625" style="60" customWidth="1"/>
    <col min="10994" max="10994" width="8.5703125" style="60" customWidth="1"/>
    <col min="10995" max="10995" width="11.42578125" style="60" customWidth="1"/>
    <col min="10996" max="10996" width="7.140625" style="60" customWidth="1"/>
    <col min="10997" max="10997" width="10.7109375" style="60" customWidth="1"/>
    <col min="10998" max="10998" width="7.42578125" style="60" customWidth="1"/>
    <col min="10999" max="10999" width="11" style="60" customWidth="1"/>
    <col min="11000" max="11000" width="8.5703125" style="60" customWidth="1"/>
    <col min="11001" max="11001" width="11" style="60" customWidth="1"/>
    <col min="11002" max="11002" width="8.42578125" style="60" customWidth="1"/>
    <col min="11003" max="11003" width="11.28515625" style="60" customWidth="1"/>
    <col min="11004" max="11004" width="7.140625" style="60" customWidth="1"/>
    <col min="11005" max="11005" width="9.42578125" style="60" customWidth="1"/>
    <col min="11006" max="11006" width="7.140625" style="60" customWidth="1"/>
    <col min="11007" max="11007" width="9.85546875" style="60" customWidth="1"/>
    <col min="11008" max="11008" width="7.85546875" style="60" customWidth="1"/>
    <col min="11009" max="11009" width="11" style="60" customWidth="1"/>
    <col min="11010" max="11010" width="7.85546875" style="60" customWidth="1"/>
    <col min="11011" max="11011" width="10.5703125" style="60" customWidth="1"/>
    <col min="11012" max="11012" width="7.28515625" style="60" customWidth="1"/>
    <col min="11013" max="11013" width="10.140625" style="60" customWidth="1"/>
    <col min="11014" max="11014" width="7.7109375" style="60" customWidth="1"/>
    <col min="11015" max="11015" width="9.85546875" style="60" customWidth="1"/>
    <col min="11016" max="11016" width="8.28515625" style="60" customWidth="1"/>
    <col min="11017" max="11017" width="11.140625" style="60" customWidth="1"/>
    <col min="11018" max="11018" width="7.85546875" style="60" customWidth="1"/>
    <col min="11019" max="11019" width="11.5703125" style="60" customWidth="1"/>
    <col min="11020" max="11021" width="9.140625" style="60"/>
    <col min="11022" max="11022" width="12.28515625" style="60" customWidth="1"/>
    <col min="11023" max="11246" width="9.140625" style="60"/>
    <col min="11247" max="11247" width="38" style="60" customWidth="1"/>
    <col min="11248" max="11248" width="8" style="60" customWidth="1"/>
    <col min="11249" max="11249" width="12.140625" style="60" customWidth="1"/>
    <col min="11250" max="11250" width="8.5703125" style="60" customWidth="1"/>
    <col min="11251" max="11251" width="11.42578125" style="60" customWidth="1"/>
    <col min="11252" max="11252" width="7.140625" style="60" customWidth="1"/>
    <col min="11253" max="11253" width="10.7109375" style="60" customWidth="1"/>
    <col min="11254" max="11254" width="7.42578125" style="60" customWidth="1"/>
    <col min="11255" max="11255" width="11" style="60" customWidth="1"/>
    <col min="11256" max="11256" width="8.5703125" style="60" customWidth="1"/>
    <col min="11257" max="11257" width="11" style="60" customWidth="1"/>
    <col min="11258" max="11258" width="8.42578125" style="60" customWidth="1"/>
    <col min="11259" max="11259" width="11.28515625" style="60" customWidth="1"/>
    <col min="11260" max="11260" width="7.140625" style="60" customWidth="1"/>
    <col min="11261" max="11261" width="9.42578125" style="60" customWidth="1"/>
    <col min="11262" max="11262" width="7.140625" style="60" customWidth="1"/>
    <col min="11263" max="11263" width="9.85546875" style="60" customWidth="1"/>
    <col min="11264" max="11264" width="7.85546875" style="60" customWidth="1"/>
    <col min="11265" max="11265" width="11" style="60" customWidth="1"/>
    <col min="11266" max="11266" width="7.85546875" style="60" customWidth="1"/>
    <col min="11267" max="11267" width="10.5703125" style="60" customWidth="1"/>
    <col min="11268" max="11268" width="7.28515625" style="60" customWidth="1"/>
    <col min="11269" max="11269" width="10.140625" style="60" customWidth="1"/>
    <col min="11270" max="11270" width="7.7109375" style="60" customWidth="1"/>
    <col min="11271" max="11271" width="9.85546875" style="60" customWidth="1"/>
    <col min="11272" max="11272" width="8.28515625" style="60" customWidth="1"/>
    <col min="11273" max="11273" width="11.140625" style="60" customWidth="1"/>
    <col min="11274" max="11274" width="7.85546875" style="60" customWidth="1"/>
    <col min="11275" max="11275" width="11.5703125" style="60" customWidth="1"/>
    <col min="11276" max="11277" width="9.140625" style="60"/>
    <col min="11278" max="11278" width="12.28515625" style="60" customWidth="1"/>
    <col min="11279" max="11502" width="9.140625" style="60"/>
    <col min="11503" max="11503" width="38" style="60" customWidth="1"/>
    <col min="11504" max="11504" width="8" style="60" customWidth="1"/>
    <col min="11505" max="11505" width="12.140625" style="60" customWidth="1"/>
    <col min="11506" max="11506" width="8.5703125" style="60" customWidth="1"/>
    <col min="11507" max="11507" width="11.42578125" style="60" customWidth="1"/>
    <col min="11508" max="11508" width="7.140625" style="60" customWidth="1"/>
    <col min="11509" max="11509" width="10.7109375" style="60" customWidth="1"/>
    <col min="11510" max="11510" width="7.42578125" style="60" customWidth="1"/>
    <col min="11511" max="11511" width="11" style="60" customWidth="1"/>
    <col min="11512" max="11512" width="8.5703125" style="60" customWidth="1"/>
    <col min="11513" max="11513" width="11" style="60" customWidth="1"/>
    <col min="11514" max="11514" width="8.42578125" style="60" customWidth="1"/>
    <col min="11515" max="11515" width="11.28515625" style="60" customWidth="1"/>
    <col min="11516" max="11516" width="7.140625" style="60" customWidth="1"/>
    <col min="11517" max="11517" width="9.42578125" style="60" customWidth="1"/>
    <col min="11518" max="11518" width="7.140625" style="60" customWidth="1"/>
    <col min="11519" max="11519" width="9.85546875" style="60" customWidth="1"/>
    <col min="11520" max="11520" width="7.85546875" style="60" customWidth="1"/>
    <col min="11521" max="11521" width="11" style="60" customWidth="1"/>
    <col min="11522" max="11522" width="7.85546875" style="60" customWidth="1"/>
    <col min="11523" max="11523" width="10.5703125" style="60" customWidth="1"/>
    <col min="11524" max="11524" width="7.28515625" style="60" customWidth="1"/>
    <col min="11525" max="11525" width="10.140625" style="60" customWidth="1"/>
    <col min="11526" max="11526" width="7.7109375" style="60" customWidth="1"/>
    <col min="11527" max="11527" width="9.85546875" style="60" customWidth="1"/>
    <col min="11528" max="11528" width="8.28515625" style="60" customWidth="1"/>
    <col min="11529" max="11529" width="11.140625" style="60" customWidth="1"/>
    <col min="11530" max="11530" width="7.85546875" style="60" customWidth="1"/>
    <col min="11531" max="11531" width="11.5703125" style="60" customWidth="1"/>
    <col min="11532" max="11533" width="9.140625" style="60"/>
    <col min="11534" max="11534" width="12.28515625" style="60" customWidth="1"/>
    <col min="11535" max="11758" width="9.140625" style="60"/>
    <col min="11759" max="11759" width="38" style="60" customWidth="1"/>
    <col min="11760" max="11760" width="8" style="60" customWidth="1"/>
    <col min="11761" max="11761" width="12.140625" style="60" customWidth="1"/>
    <col min="11762" max="11762" width="8.5703125" style="60" customWidth="1"/>
    <col min="11763" max="11763" width="11.42578125" style="60" customWidth="1"/>
    <col min="11764" max="11764" width="7.140625" style="60" customWidth="1"/>
    <col min="11765" max="11765" width="10.7109375" style="60" customWidth="1"/>
    <col min="11766" max="11766" width="7.42578125" style="60" customWidth="1"/>
    <col min="11767" max="11767" width="11" style="60" customWidth="1"/>
    <col min="11768" max="11768" width="8.5703125" style="60" customWidth="1"/>
    <col min="11769" max="11769" width="11" style="60" customWidth="1"/>
    <col min="11770" max="11770" width="8.42578125" style="60" customWidth="1"/>
    <col min="11771" max="11771" width="11.28515625" style="60" customWidth="1"/>
    <col min="11772" max="11772" width="7.140625" style="60" customWidth="1"/>
    <col min="11773" max="11773" width="9.42578125" style="60" customWidth="1"/>
    <col min="11774" max="11774" width="7.140625" style="60" customWidth="1"/>
    <col min="11775" max="11775" width="9.85546875" style="60" customWidth="1"/>
    <col min="11776" max="11776" width="7.85546875" style="60" customWidth="1"/>
    <col min="11777" max="11777" width="11" style="60" customWidth="1"/>
    <col min="11778" max="11778" width="7.85546875" style="60" customWidth="1"/>
    <col min="11779" max="11779" width="10.5703125" style="60" customWidth="1"/>
    <col min="11780" max="11780" width="7.28515625" style="60" customWidth="1"/>
    <col min="11781" max="11781" width="10.140625" style="60" customWidth="1"/>
    <col min="11782" max="11782" width="7.7109375" style="60" customWidth="1"/>
    <col min="11783" max="11783" width="9.85546875" style="60" customWidth="1"/>
    <col min="11784" max="11784" width="8.28515625" style="60" customWidth="1"/>
    <col min="11785" max="11785" width="11.140625" style="60" customWidth="1"/>
    <col min="11786" max="11786" width="7.85546875" style="60" customWidth="1"/>
    <col min="11787" max="11787" width="11.5703125" style="60" customWidth="1"/>
    <col min="11788" max="11789" width="9.140625" style="60"/>
    <col min="11790" max="11790" width="12.28515625" style="60" customWidth="1"/>
    <col min="11791" max="12014" width="9.140625" style="60"/>
    <col min="12015" max="12015" width="38" style="60" customWidth="1"/>
    <col min="12016" max="12016" width="8" style="60" customWidth="1"/>
    <col min="12017" max="12017" width="12.140625" style="60" customWidth="1"/>
    <col min="12018" max="12018" width="8.5703125" style="60" customWidth="1"/>
    <col min="12019" max="12019" width="11.42578125" style="60" customWidth="1"/>
    <col min="12020" max="12020" width="7.140625" style="60" customWidth="1"/>
    <col min="12021" max="12021" width="10.7109375" style="60" customWidth="1"/>
    <col min="12022" max="12022" width="7.42578125" style="60" customWidth="1"/>
    <col min="12023" max="12023" width="11" style="60" customWidth="1"/>
    <col min="12024" max="12024" width="8.5703125" style="60" customWidth="1"/>
    <col min="12025" max="12025" width="11" style="60" customWidth="1"/>
    <col min="12026" max="12026" width="8.42578125" style="60" customWidth="1"/>
    <col min="12027" max="12027" width="11.28515625" style="60" customWidth="1"/>
    <col min="12028" max="12028" width="7.140625" style="60" customWidth="1"/>
    <col min="12029" max="12029" width="9.42578125" style="60" customWidth="1"/>
    <col min="12030" max="12030" width="7.140625" style="60" customWidth="1"/>
    <col min="12031" max="12031" width="9.85546875" style="60" customWidth="1"/>
    <col min="12032" max="12032" width="7.85546875" style="60" customWidth="1"/>
    <col min="12033" max="12033" width="11" style="60" customWidth="1"/>
    <col min="12034" max="12034" width="7.85546875" style="60" customWidth="1"/>
    <col min="12035" max="12035" width="10.5703125" style="60" customWidth="1"/>
    <col min="12036" max="12036" width="7.28515625" style="60" customWidth="1"/>
    <col min="12037" max="12037" width="10.140625" style="60" customWidth="1"/>
    <col min="12038" max="12038" width="7.7109375" style="60" customWidth="1"/>
    <col min="12039" max="12039" width="9.85546875" style="60" customWidth="1"/>
    <col min="12040" max="12040" width="8.28515625" style="60" customWidth="1"/>
    <col min="12041" max="12041" width="11.140625" style="60" customWidth="1"/>
    <col min="12042" max="12042" width="7.85546875" style="60" customWidth="1"/>
    <col min="12043" max="12043" width="11.5703125" style="60" customWidth="1"/>
    <col min="12044" max="12045" width="9.140625" style="60"/>
    <col min="12046" max="12046" width="12.28515625" style="60" customWidth="1"/>
    <col min="12047" max="12270" width="9.140625" style="60"/>
    <col min="12271" max="12271" width="38" style="60" customWidth="1"/>
    <col min="12272" max="12272" width="8" style="60" customWidth="1"/>
    <col min="12273" max="12273" width="12.140625" style="60" customWidth="1"/>
    <col min="12274" max="12274" width="8.5703125" style="60" customWidth="1"/>
    <col min="12275" max="12275" width="11.42578125" style="60" customWidth="1"/>
    <col min="12276" max="12276" width="7.140625" style="60" customWidth="1"/>
    <col min="12277" max="12277" width="10.7109375" style="60" customWidth="1"/>
    <col min="12278" max="12278" width="7.42578125" style="60" customWidth="1"/>
    <col min="12279" max="12279" width="11" style="60" customWidth="1"/>
    <col min="12280" max="12280" width="8.5703125" style="60" customWidth="1"/>
    <col min="12281" max="12281" width="11" style="60" customWidth="1"/>
    <col min="12282" max="12282" width="8.42578125" style="60" customWidth="1"/>
    <col min="12283" max="12283" width="11.28515625" style="60" customWidth="1"/>
    <col min="12284" max="12284" width="7.140625" style="60" customWidth="1"/>
    <col min="12285" max="12285" width="9.42578125" style="60" customWidth="1"/>
    <col min="12286" max="12286" width="7.140625" style="60" customWidth="1"/>
    <col min="12287" max="12287" width="9.85546875" style="60" customWidth="1"/>
    <col min="12288" max="12288" width="7.85546875" style="60" customWidth="1"/>
    <col min="12289" max="12289" width="11" style="60" customWidth="1"/>
    <col min="12290" max="12290" width="7.85546875" style="60" customWidth="1"/>
    <col min="12291" max="12291" width="10.5703125" style="60" customWidth="1"/>
    <col min="12292" max="12292" width="7.28515625" style="60" customWidth="1"/>
    <col min="12293" max="12293" width="10.140625" style="60" customWidth="1"/>
    <col min="12294" max="12294" width="7.7109375" style="60" customWidth="1"/>
    <col min="12295" max="12295" width="9.85546875" style="60" customWidth="1"/>
    <col min="12296" max="12296" width="8.28515625" style="60" customWidth="1"/>
    <col min="12297" max="12297" width="11.140625" style="60" customWidth="1"/>
    <col min="12298" max="12298" width="7.85546875" style="60" customWidth="1"/>
    <col min="12299" max="12299" width="11.5703125" style="60" customWidth="1"/>
    <col min="12300" max="12301" width="9.140625" style="60"/>
    <col min="12302" max="12302" width="12.28515625" style="60" customWidth="1"/>
    <col min="12303" max="12526" width="9.140625" style="60"/>
    <col min="12527" max="12527" width="38" style="60" customWidth="1"/>
    <col min="12528" max="12528" width="8" style="60" customWidth="1"/>
    <col min="12529" max="12529" width="12.140625" style="60" customWidth="1"/>
    <col min="12530" max="12530" width="8.5703125" style="60" customWidth="1"/>
    <col min="12531" max="12531" width="11.42578125" style="60" customWidth="1"/>
    <col min="12532" max="12532" width="7.140625" style="60" customWidth="1"/>
    <col min="12533" max="12533" width="10.7109375" style="60" customWidth="1"/>
    <col min="12534" max="12534" width="7.42578125" style="60" customWidth="1"/>
    <col min="12535" max="12535" width="11" style="60" customWidth="1"/>
    <col min="12536" max="12536" width="8.5703125" style="60" customWidth="1"/>
    <col min="12537" max="12537" width="11" style="60" customWidth="1"/>
    <col min="12538" max="12538" width="8.42578125" style="60" customWidth="1"/>
    <col min="12539" max="12539" width="11.28515625" style="60" customWidth="1"/>
    <col min="12540" max="12540" width="7.140625" style="60" customWidth="1"/>
    <col min="12541" max="12541" width="9.42578125" style="60" customWidth="1"/>
    <col min="12542" max="12542" width="7.140625" style="60" customWidth="1"/>
    <col min="12543" max="12543" width="9.85546875" style="60" customWidth="1"/>
    <col min="12544" max="12544" width="7.85546875" style="60" customWidth="1"/>
    <col min="12545" max="12545" width="11" style="60" customWidth="1"/>
    <col min="12546" max="12546" width="7.85546875" style="60" customWidth="1"/>
    <col min="12547" max="12547" width="10.5703125" style="60" customWidth="1"/>
    <col min="12548" max="12548" width="7.28515625" style="60" customWidth="1"/>
    <col min="12549" max="12549" width="10.140625" style="60" customWidth="1"/>
    <col min="12550" max="12550" width="7.7109375" style="60" customWidth="1"/>
    <col min="12551" max="12551" width="9.85546875" style="60" customWidth="1"/>
    <col min="12552" max="12552" width="8.28515625" style="60" customWidth="1"/>
    <col min="12553" max="12553" width="11.140625" style="60" customWidth="1"/>
    <col min="12554" max="12554" width="7.85546875" style="60" customWidth="1"/>
    <col min="12555" max="12555" width="11.5703125" style="60" customWidth="1"/>
    <col min="12556" max="12557" width="9.140625" style="60"/>
    <col min="12558" max="12558" width="12.28515625" style="60" customWidth="1"/>
    <col min="12559" max="12782" width="9.140625" style="60"/>
    <col min="12783" max="12783" width="38" style="60" customWidth="1"/>
    <col min="12784" max="12784" width="8" style="60" customWidth="1"/>
    <col min="12785" max="12785" width="12.140625" style="60" customWidth="1"/>
    <col min="12786" max="12786" width="8.5703125" style="60" customWidth="1"/>
    <col min="12787" max="12787" width="11.42578125" style="60" customWidth="1"/>
    <col min="12788" max="12788" width="7.140625" style="60" customWidth="1"/>
    <col min="12789" max="12789" width="10.7109375" style="60" customWidth="1"/>
    <col min="12790" max="12790" width="7.42578125" style="60" customWidth="1"/>
    <col min="12791" max="12791" width="11" style="60" customWidth="1"/>
    <col min="12792" max="12792" width="8.5703125" style="60" customWidth="1"/>
    <col min="12793" max="12793" width="11" style="60" customWidth="1"/>
    <col min="12794" max="12794" width="8.42578125" style="60" customWidth="1"/>
    <col min="12795" max="12795" width="11.28515625" style="60" customWidth="1"/>
    <col min="12796" max="12796" width="7.140625" style="60" customWidth="1"/>
    <col min="12797" max="12797" width="9.42578125" style="60" customWidth="1"/>
    <col min="12798" max="12798" width="7.140625" style="60" customWidth="1"/>
    <col min="12799" max="12799" width="9.85546875" style="60" customWidth="1"/>
    <col min="12800" max="12800" width="7.85546875" style="60" customWidth="1"/>
    <col min="12801" max="12801" width="11" style="60" customWidth="1"/>
    <col min="12802" max="12802" width="7.85546875" style="60" customWidth="1"/>
    <col min="12803" max="12803" width="10.5703125" style="60" customWidth="1"/>
    <col min="12804" max="12804" width="7.28515625" style="60" customWidth="1"/>
    <col min="12805" max="12805" width="10.140625" style="60" customWidth="1"/>
    <col min="12806" max="12806" width="7.7109375" style="60" customWidth="1"/>
    <col min="12807" max="12807" width="9.85546875" style="60" customWidth="1"/>
    <col min="12808" max="12808" width="8.28515625" style="60" customWidth="1"/>
    <col min="12809" max="12809" width="11.140625" style="60" customWidth="1"/>
    <col min="12810" max="12810" width="7.85546875" style="60" customWidth="1"/>
    <col min="12811" max="12811" width="11.5703125" style="60" customWidth="1"/>
    <col min="12812" max="12813" width="9.140625" style="60"/>
    <col min="12814" max="12814" width="12.28515625" style="60" customWidth="1"/>
    <col min="12815" max="13038" width="9.140625" style="60"/>
    <col min="13039" max="13039" width="38" style="60" customWidth="1"/>
    <col min="13040" max="13040" width="8" style="60" customWidth="1"/>
    <col min="13041" max="13041" width="12.140625" style="60" customWidth="1"/>
    <col min="13042" max="13042" width="8.5703125" style="60" customWidth="1"/>
    <col min="13043" max="13043" width="11.42578125" style="60" customWidth="1"/>
    <col min="13044" max="13044" width="7.140625" style="60" customWidth="1"/>
    <col min="13045" max="13045" width="10.7109375" style="60" customWidth="1"/>
    <col min="13046" max="13046" width="7.42578125" style="60" customWidth="1"/>
    <col min="13047" max="13047" width="11" style="60" customWidth="1"/>
    <col min="13048" max="13048" width="8.5703125" style="60" customWidth="1"/>
    <col min="13049" max="13049" width="11" style="60" customWidth="1"/>
    <col min="13050" max="13050" width="8.42578125" style="60" customWidth="1"/>
    <col min="13051" max="13051" width="11.28515625" style="60" customWidth="1"/>
    <col min="13052" max="13052" width="7.140625" style="60" customWidth="1"/>
    <col min="13053" max="13053" width="9.42578125" style="60" customWidth="1"/>
    <col min="13054" max="13054" width="7.140625" style="60" customWidth="1"/>
    <col min="13055" max="13055" width="9.85546875" style="60" customWidth="1"/>
    <col min="13056" max="13056" width="7.85546875" style="60" customWidth="1"/>
    <col min="13057" max="13057" width="11" style="60" customWidth="1"/>
    <col min="13058" max="13058" width="7.85546875" style="60" customWidth="1"/>
    <col min="13059" max="13059" width="10.5703125" style="60" customWidth="1"/>
    <col min="13060" max="13060" width="7.28515625" style="60" customWidth="1"/>
    <col min="13061" max="13061" width="10.140625" style="60" customWidth="1"/>
    <col min="13062" max="13062" width="7.7109375" style="60" customWidth="1"/>
    <col min="13063" max="13063" width="9.85546875" style="60" customWidth="1"/>
    <col min="13064" max="13064" width="8.28515625" style="60" customWidth="1"/>
    <col min="13065" max="13065" width="11.140625" style="60" customWidth="1"/>
    <col min="13066" max="13066" width="7.85546875" style="60" customWidth="1"/>
    <col min="13067" max="13067" width="11.5703125" style="60" customWidth="1"/>
    <col min="13068" max="13069" width="9.140625" style="60"/>
    <col min="13070" max="13070" width="12.28515625" style="60" customWidth="1"/>
    <col min="13071" max="13294" width="9.140625" style="60"/>
    <col min="13295" max="13295" width="38" style="60" customWidth="1"/>
    <col min="13296" max="13296" width="8" style="60" customWidth="1"/>
    <col min="13297" max="13297" width="12.140625" style="60" customWidth="1"/>
    <col min="13298" max="13298" width="8.5703125" style="60" customWidth="1"/>
    <col min="13299" max="13299" width="11.42578125" style="60" customWidth="1"/>
    <col min="13300" max="13300" width="7.140625" style="60" customWidth="1"/>
    <col min="13301" max="13301" width="10.7109375" style="60" customWidth="1"/>
    <col min="13302" max="13302" width="7.42578125" style="60" customWidth="1"/>
    <col min="13303" max="13303" width="11" style="60" customWidth="1"/>
    <col min="13304" max="13304" width="8.5703125" style="60" customWidth="1"/>
    <col min="13305" max="13305" width="11" style="60" customWidth="1"/>
    <col min="13306" max="13306" width="8.42578125" style="60" customWidth="1"/>
    <col min="13307" max="13307" width="11.28515625" style="60" customWidth="1"/>
    <col min="13308" max="13308" width="7.140625" style="60" customWidth="1"/>
    <col min="13309" max="13309" width="9.42578125" style="60" customWidth="1"/>
    <col min="13310" max="13310" width="7.140625" style="60" customWidth="1"/>
    <col min="13311" max="13311" width="9.85546875" style="60" customWidth="1"/>
    <col min="13312" max="13312" width="7.85546875" style="60" customWidth="1"/>
    <col min="13313" max="13313" width="11" style="60" customWidth="1"/>
    <col min="13314" max="13314" width="7.85546875" style="60" customWidth="1"/>
    <col min="13315" max="13315" width="10.5703125" style="60" customWidth="1"/>
    <col min="13316" max="13316" width="7.28515625" style="60" customWidth="1"/>
    <col min="13317" max="13317" width="10.140625" style="60" customWidth="1"/>
    <col min="13318" max="13318" width="7.7109375" style="60" customWidth="1"/>
    <col min="13319" max="13319" width="9.85546875" style="60" customWidth="1"/>
    <col min="13320" max="13320" width="8.28515625" style="60" customWidth="1"/>
    <col min="13321" max="13321" width="11.140625" style="60" customWidth="1"/>
    <col min="13322" max="13322" width="7.85546875" style="60" customWidth="1"/>
    <col min="13323" max="13323" width="11.5703125" style="60" customWidth="1"/>
    <col min="13324" max="13325" width="9.140625" style="60"/>
    <col min="13326" max="13326" width="12.28515625" style="60" customWidth="1"/>
    <col min="13327" max="13550" width="9.140625" style="60"/>
    <col min="13551" max="13551" width="38" style="60" customWidth="1"/>
    <col min="13552" max="13552" width="8" style="60" customWidth="1"/>
    <col min="13553" max="13553" width="12.140625" style="60" customWidth="1"/>
    <col min="13554" max="13554" width="8.5703125" style="60" customWidth="1"/>
    <col min="13555" max="13555" width="11.42578125" style="60" customWidth="1"/>
    <col min="13556" max="13556" width="7.140625" style="60" customWidth="1"/>
    <col min="13557" max="13557" width="10.7109375" style="60" customWidth="1"/>
    <col min="13558" max="13558" width="7.42578125" style="60" customWidth="1"/>
    <col min="13559" max="13559" width="11" style="60" customWidth="1"/>
    <col min="13560" max="13560" width="8.5703125" style="60" customWidth="1"/>
    <col min="13561" max="13561" width="11" style="60" customWidth="1"/>
    <col min="13562" max="13562" width="8.42578125" style="60" customWidth="1"/>
    <col min="13563" max="13563" width="11.28515625" style="60" customWidth="1"/>
    <col min="13564" max="13564" width="7.140625" style="60" customWidth="1"/>
    <col min="13565" max="13565" width="9.42578125" style="60" customWidth="1"/>
    <col min="13566" max="13566" width="7.140625" style="60" customWidth="1"/>
    <col min="13567" max="13567" width="9.85546875" style="60" customWidth="1"/>
    <col min="13568" max="13568" width="7.85546875" style="60" customWidth="1"/>
    <col min="13569" max="13569" width="11" style="60" customWidth="1"/>
    <col min="13570" max="13570" width="7.85546875" style="60" customWidth="1"/>
    <col min="13571" max="13571" width="10.5703125" style="60" customWidth="1"/>
    <col min="13572" max="13572" width="7.28515625" style="60" customWidth="1"/>
    <col min="13573" max="13573" width="10.140625" style="60" customWidth="1"/>
    <col min="13574" max="13574" width="7.7109375" style="60" customWidth="1"/>
    <col min="13575" max="13575" width="9.85546875" style="60" customWidth="1"/>
    <col min="13576" max="13576" width="8.28515625" style="60" customWidth="1"/>
    <col min="13577" max="13577" width="11.140625" style="60" customWidth="1"/>
    <col min="13578" max="13578" width="7.85546875" style="60" customWidth="1"/>
    <col min="13579" max="13579" width="11.5703125" style="60" customWidth="1"/>
    <col min="13580" max="13581" width="9.140625" style="60"/>
    <col min="13582" max="13582" width="12.28515625" style="60" customWidth="1"/>
    <col min="13583" max="13806" width="9.140625" style="60"/>
    <col min="13807" max="13807" width="38" style="60" customWidth="1"/>
    <col min="13808" max="13808" width="8" style="60" customWidth="1"/>
    <col min="13809" max="13809" width="12.140625" style="60" customWidth="1"/>
    <col min="13810" max="13810" width="8.5703125" style="60" customWidth="1"/>
    <col min="13811" max="13811" width="11.42578125" style="60" customWidth="1"/>
    <col min="13812" max="13812" width="7.140625" style="60" customWidth="1"/>
    <col min="13813" max="13813" width="10.7109375" style="60" customWidth="1"/>
    <col min="13814" max="13814" width="7.42578125" style="60" customWidth="1"/>
    <col min="13815" max="13815" width="11" style="60" customWidth="1"/>
    <col min="13816" max="13816" width="8.5703125" style="60" customWidth="1"/>
    <col min="13817" max="13817" width="11" style="60" customWidth="1"/>
    <col min="13818" max="13818" width="8.42578125" style="60" customWidth="1"/>
    <col min="13819" max="13819" width="11.28515625" style="60" customWidth="1"/>
    <col min="13820" max="13820" width="7.140625" style="60" customWidth="1"/>
    <col min="13821" max="13821" width="9.42578125" style="60" customWidth="1"/>
    <col min="13822" max="13822" width="7.140625" style="60" customWidth="1"/>
    <col min="13823" max="13823" width="9.85546875" style="60" customWidth="1"/>
    <col min="13824" max="13824" width="7.85546875" style="60" customWidth="1"/>
    <col min="13825" max="13825" width="11" style="60" customWidth="1"/>
    <col min="13826" max="13826" width="7.85546875" style="60" customWidth="1"/>
    <col min="13827" max="13827" width="10.5703125" style="60" customWidth="1"/>
    <col min="13828" max="13828" width="7.28515625" style="60" customWidth="1"/>
    <col min="13829" max="13829" width="10.140625" style="60" customWidth="1"/>
    <col min="13830" max="13830" width="7.7109375" style="60" customWidth="1"/>
    <col min="13831" max="13831" width="9.85546875" style="60" customWidth="1"/>
    <col min="13832" max="13832" width="8.28515625" style="60" customWidth="1"/>
    <col min="13833" max="13833" width="11.140625" style="60" customWidth="1"/>
    <col min="13834" max="13834" width="7.85546875" style="60" customWidth="1"/>
    <col min="13835" max="13835" width="11.5703125" style="60" customWidth="1"/>
    <col min="13836" max="13837" width="9.140625" style="60"/>
    <col min="13838" max="13838" width="12.28515625" style="60" customWidth="1"/>
    <col min="13839" max="14062" width="9.140625" style="60"/>
    <col min="14063" max="14063" width="38" style="60" customWidth="1"/>
    <col min="14064" max="14064" width="8" style="60" customWidth="1"/>
    <col min="14065" max="14065" width="12.140625" style="60" customWidth="1"/>
    <col min="14066" max="14066" width="8.5703125" style="60" customWidth="1"/>
    <col min="14067" max="14067" width="11.42578125" style="60" customWidth="1"/>
    <col min="14068" max="14068" width="7.140625" style="60" customWidth="1"/>
    <col min="14069" max="14069" width="10.7109375" style="60" customWidth="1"/>
    <col min="14070" max="14070" width="7.42578125" style="60" customWidth="1"/>
    <col min="14071" max="14071" width="11" style="60" customWidth="1"/>
    <col min="14072" max="14072" width="8.5703125" style="60" customWidth="1"/>
    <col min="14073" max="14073" width="11" style="60" customWidth="1"/>
    <col min="14074" max="14074" width="8.42578125" style="60" customWidth="1"/>
    <col min="14075" max="14075" width="11.28515625" style="60" customWidth="1"/>
    <col min="14076" max="14076" width="7.140625" style="60" customWidth="1"/>
    <col min="14077" max="14077" width="9.42578125" style="60" customWidth="1"/>
    <col min="14078" max="14078" width="7.140625" style="60" customWidth="1"/>
    <col min="14079" max="14079" width="9.85546875" style="60" customWidth="1"/>
    <col min="14080" max="14080" width="7.85546875" style="60" customWidth="1"/>
    <col min="14081" max="14081" width="11" style="60" customWidth="1"/>
    <col min="14082" max="14082" width="7.85546875" style="60" customWidth="1"/>
    <col min="14083" max="14083" width="10.5703125" style="60" customWidth="1"/>
    <col min="14084" max="14084" width="7.28515625" style="60" customWidth="1"/>
    <col min="14085" max="14085" width="10.140625" style="60" customWidth="1"/>
    <col min="14086" max="14086" width="7.7109375" style="60" customWidth="1"/>
    <col min="14087" max="14087" width="9.85546875" style="60" customWidth="1"/>
    <col min="14088" max="14088" width="8.28515625" style="60" customWidth="1"/>
    <col min="14089" max="14089" width="11.140625" style="60" customWidth="1"/>
    <col min="14090" max="14090" width="7.85546875" style="60" customWidth="1"/>
    <col min="14091" max="14091" width="11.5703125" style="60" customWidth="1"/>
    <col min="14092" max="14093" width="9.140625" style="60"/>
    <col min="14094" max="14094" width="12.28515625" style="60" customWidth="1"/>
    <col min="14095" max="14318" width="9.140625" style="60"/>
    <col min="14319" max="14319" width="38" style="60" customWidth="1"/>
    <col min="14320" max="14320" width="8" style="60" customWidth="1"/>
    <col min="14321" max="14321" width="12.140625" style="60" customWidth="1"/>
    <col min="14322" max="14322" width="8.5703125" style="60" customWidth="1"/>
    <col min="14323" max="14323" width="11.42578125" style="60" customWidth="1"/>
    <col min="14324" max="14324" width="7.140625" style="60" customWidth="1"/>
    <col min="14325" max="14325" width="10.7109375" style="60" customWidth="1"/>
    <col min="14326" max="14326" width="7.42578125" style="60" customWidth="1"/>
    <col min="14327" max="14327" width="11" style="60" customWidth="1"/>
    <col min="14328" max="14328" width="8.5703125" style="60" customWidth="1"/>
    <col min="14329" max="14329" width="11" style="60" customWidth="1"/>
    <col min="14330" max="14330" width="8.42578125" style="60" customWidth="1"/>
    <col min="14331" max="14331" width="11.28515625" style="60" customWidth="1"/>
    <col min="14332" max="14332" width="7.140625" style="60" customWidth="1"/>
    <col min="14333" max="14333" width="9.42578125" style="60" customWidth="1"/>
    <col min="14334" max="14334" width="7.140625" style="60" customWidth="1"/>
    <col min="14335" max="14335" width="9.85546875" style="60" customWidth="1"/>
    <col min="14336" max="14336" width="7.85546875" style="60" customWidth="1"/>
    <col min="14337" max="14337" width="11" style="60" customWidth="1"/>
    <col min="14338" max="14338" width="7.85546875" style="60" customWidth="1"/>
    <col min="14339" max="14339" width="10.5703125" style="60" customWidth="1"/>
    <col min="14340" max="14340" width="7.28515625" style="60" customWidth="1"/>
    <col min="14341" max="14341" width="10.140625" style="60" customWidth="1"/>
    <col min="14342" max="14342" width="7.7109375" style="60" customWidth="1"/>
    <col min="14343" max="14343" width="9.85546875" style="60" customWidth="1"/>
    <col min="14344" max="14344" width="8.28515625" style="60" customWidth="1"/>
    <col min="14345" max="14345" width="11.140625" style="60" customWidth="1"/>
    <col min="14346" max="14346" width="7.85546875" style="60" customWidth="1"/>
    <col min="14347" max="14347" width="11.5703125" style="60" customWidth="1"/>
    <col min="14348" max="14349" width="9.140625" style="60"/>
    <col min="14350" max="14350" width="12.28515625" style="60" customWidth="1"/>
    <col min="14351" max="14574" width="9.140625" style="60"/>
    <col min="14575" max="14575" width="38" style="60" customWidth="1"/>
    <col min="14576" max="14576" width="8" style="60" customWidth="1"/>
    <col min="14577" max="14577" width="12.140625" style="60" customWidth="1"/>
    <col min="14578" max="14578" width="8.5703125" style="60" customWidth="1"/>
    <col min="14579" max="14579" width="11.42578125" style="60" customWidth="1"/>
    <col min="14580" max="14580" width="7.140625" style="60" customWidth="1"/>
    <col min="14581" max="14581" width="10.7109375" style="60" customWidth="1"/>
    <col min="14582" max="14582" width="7.42578125" style="60" customWidth="1"/>
    <col min="14583" max="14583" width="11" style="60" customWidth="1"/>
    <col min="14584" max="14584" width="8.5703125" style="60" customWidth="1"/>
    <col min="14585" max="14585" width="11" style="60" customWidth="1"/>
    <col min="14586" max="14586" width="8.42578125" style="60" customWidth="1"/>
    <col min="14587" max="14587" width="11.28515625" style="60" customWidth="1"/>
    <col min="14588" max="14588" width="7.140625" style="60" customWidth="1"/>
    <col min="14589" max="14589" width="9.42578125" style="60" customWidth="1"/>
    <col min="14590" max="14590" width="7.140625" style="60" customWidth="1"/>
    <col min="14591" max="14591" width="9.85546875" style="60" customWidth="1"/>
    <col min="14592" max="14592" width="7.85546875" style="60" customWidth="1"/>
    <col min="14593" max="14593" width="11" style="60" customWidth="1"/>
    <col min="14594" max="14594" width="7.85546875" style="60" customWidth="1"/>
    <col min="14595" max="14595" width="10.5703125" style="60" customWidth="1"/>
    <col min="14596" max="14596" width="7.28515625" style="60" customWidth="1"/>
    <col min="14597" max="14597" width="10.140625" style="60" customWidth="1"/>
    <col min="14598" max="14598" width="7.7109375" style="60" customWidth="1"/>
    <col min="14599" max="14599" width="9.85546875" style="60" customWidth="1"/>
    <col min="14600" max="14600" width="8.28515625" style="60" customWidth="1"/>
    <col min="14601" max="14601" width="11.140625" style="60" customWidth="1"/>
    <col min="14602" max="14602" width="7.85546875" style="60" customWidth="1"/>
    <col min="14603" max="14603" width="11.5703125" style="60" customWidth="1"/>
    <col min="14604" max="14605" width="9.140625" style="60"/>
    <col min="14606" max="14606" width="12.28515625" style="60" customWidth="1"/>
    <col min="14607" max="14830" width="9.140625" style="60"/>
    <col min="14831" max="14831" width="38" style="60" customWidth="1"/>
    <col min="14832" max="14832" width="8" style="60" customWidth="1"/>
    <col min="14833" max="14833" width="12.140625" style="60" customWidth="1"/>
    <col min="14834" max="14834" width="8.5703125" style="60" customWidth="1"/>
    <col min="14835" max="14835" width="11.42578125" style="60" customWidth="1"/>
    <col min="14836" max="14836" width="7.140625" style="60" customWidth="1"/>
    <col min="14837" max="14837" width="10.7109375" style="60" customWidth="1"/>
    <col min="14838" max="14838" width="7.42578125" style="60" customWidth="1"/>
    <col min="14839" max="14839" width="11" style="60" customWidth="1"/>
    <col min="14840" max="14840" width="8.5703125" style="60" customWidth="1"/>
    <col min="14841" max="14841" width="11" style="60" customWidth="1"/>
    <col min="14842" max="14842" width="8.42578125" style="60" customWidth="1"/>
    <col min="14843" max="14843" width="11.28515625" style="60" customWidth="1"/>
    <col min="14844" max="14844" width="7.140625" style="60" customWidth="1"/>
    <col min="14845" max="14845" width="9.42578125" style="60" customWidth="1"/>
    <col min="14846" max="14846" width="7.140625" style="60" customWidth="1"/>
    <col min="14847" max="14847" width="9.85546875" style="60" customWidth="1"/>
    <col min="14848" max="14848" width="7.85546875" style="60" customWidth="1"/>
    <col min="14849" max="14849" width="11" style="60" customWidth="1"/>
    <col min="14850" max="14850" width="7.85546875" style="60" customWidth="1"/>
    <col min="14851" max="14851" width="10.5703125" style="60" customWidth="1"/>
    <col min="14852" max="14852" width="7.28515625" style="60" customWidth="1"/>
    <col min="14853" max="14853" width="10.140625" style="60" customWidth="1"/>
    <col min="14854" max="14854" width="7.7109375" style="60" customWidth="1"/>
    <col min="14855" max="14855" width="9.85546875" style="60" customWidth="1"/>
    <col min="14856" max="14856" width="8.28515625" style="60" customWidth="1"/>
    <col min="14857" max="14857" width="11.140625" style="60" customWidth="1"/>
    <col min="14858" max="14858" width="7.85546875" style="60" customWidth="1"/>
    <col min="14859" max="14859" width="11.5703125" style="60" customWidth="1"/>
    <col min="14860" max="14861" width="9.140625" style="60"/>
    <col min="14862" max="14862" width="12.28515625" style="60" customWidth="1"/>
    <col min="14863" max="15086" width="9.140625" style="60"/>
    <col min="15087" max="15087" width="38" style="60" customWidth="1"/>
    <col min="15088" max="15088" width="8" style="60" customWidth="1"/>
    <col min="15089" max="15089" width="12.140625" style="60" customWidth="1"/>
    <col min="15090" max="15090" width="8.5703125" style="60" customWidth="1"/>
    <col min="15091" max="15091" width="11.42578125" style="60" customWidth="1"/>
    <col min="15092" max="15092" width="7.140625" style="60" customWidth="1"/>
    <col min="15093" max="15093" width="10.7109375" style="60" customWidth="1"/>
    <col min="15094" max="15094" width="7.42578125" style="60" customWidth="1"/>
    <col min="15095" max="15095" width="11" style="60" customWidth="1"/>
    <col min="15096" max="15096" width="8.5703125" style="60" customWidth="1"/>
    <col min="15097" max="15097" width="11" style="60" customWidth="1"/>
    <col min="15098" max="15098" width="8.42578125" style="60" customWidth="1"/>
    <col min="15099" max="15099" width="11.28515625" style="60" customWidth="1"/>
    <col min="15100" max="15100" width="7.140625" style="60" customWidth="1"/>
    <col min="15101" max="15101" width="9.42578125" style="60" customWidth="1"/>
    <col min="15102" max="15102" width="7.140625" style="60" customWidth="1"/>
    <col min="15103" max="15103" width="9.85546875" style="60" customWidth="1"/>
    <col min="15104" max="15104" width="7.85546875" style="60" customWidth="1"/>
    <col min="15105" max="15105" width="11" style="60" customWidth="1"/>
    <col min="15106" max="15106" width="7.85546875" style="60" customWidth="1"/>
    <col min="15107" max="15107" width="10.5703125" style="60" customWidth="1"/>
    <col min="15108" max="15108" width="7.28515625" style="60" customWidth="1"/>
    <col min="15109" max="15109" width="10.140625" style="60" customWidth="1"/>
    <col min="15110" max="15110" width="7.7109375" style="60" customWidth="1"/>
    <col min="15111" max="15111" width="9.85546875" style="60" customWidth="1"/>
    <col min="15112" max="15112" width="8.28515625" style="60" customWidth="1"/>
    <col min="15113" max="15113" width="11.140625" style="60" customWidth="1"/>
    <col min="15114" max="15114" width="7.85546875" style="60" customWidth="1"/>
    <col min="15115" max="15115" width="11.5703125" style="60" customWidth="1"/>
    <col min="15116" max="15117" width="9.140625" style="60"/>
    <col min="15118" max="15118" width="12.28515625" style="60" customWidth="1"/>
    <col min="15119" max="15342" width="9.140625" style="60"/>
    <col min="15343" max="15343" width="38" style="60" customWidth="1"/>
    <col min="15344" max="15344" width="8" style="60" customWidth="1"/>
    <col min="15345" max="15345" width="12.140625" style="60" customWidth="1"/>
    <col min="15346" max="15346" width="8.5703125" style="60" customWidth="1"/>
    <col min="15347" max="15347" width="11.42578125" style="60" customWidth="1"/>
    <col min="15348" max="15348" width="7.140625" style="60" customWidth="1"/>
    <col min="15349" max="15349" width="10.7109375" style="60" customWidth="1"/>
    <col min="15350" max="15350" width="7.42578125" style="60" customWidth="1"/>
    <col min="15351" max="15351" width="11" style="60" customWidth="1"/>
    <col min="15352" max="15352" width="8.5703125" style="60" customWidth="1"/>
    <col min="15353" max="15353" width="11" style="60" customWidth="1"/>
    <col min="15354" max="15354" width="8.42578125" style="60" customWidth="1"/>
    <col min="15355" max="15355" width="11.28515625" style="60" customWidth="1"/>
    <col min="15356" max="15356" width="7.140625" style="60" customWidth="1"/>
    <col min="15357" max="15357" width="9.42578125" style="60" customWidth="1"/>
    <col min="15358" max="15358" width="7.140625" style="60" customWidth="1"/>
    <col min="15359" max="15359" width="9.85546875" style="60" customWidth="1"/>
    <col min="15360" max="15360" width="7.85546875" style="60" customWidth="1"/>
    <col min="15361" max="15361" width="11" style="60" customWidth="1"/>
    <col min="15362" max="15362" width="7.85546875" style="60" customWidth="1"/>
    <col min="15363" max="15363" width="10.5703125" style="60" customWidth="1"/>
    <col min="15364" max="15364" width="7.28515625" style="60" customWidth="1"/>
    <col min="15365" max="15365" width="10.140625" style="60" customWidth="1"/>
    <col min="15366" max="15366" width="7.7109375" style="60" customWidth="1"/>
    <col min="15367" max="15367" width="9.85546875" style="60" customWidth="1"/>
    <col min="15368" max="15368" width="8.28515625" style="60" customWidth="1"/>
    <col min="15369" max="15369" width="11.140625" style="60" customWidth="1"/>
    <col min="15370" max="15370" width="7.85546875" style="60" customWidth="1"/>
    <col min="15371" max="15371" width="11.5703125" style="60" customWidth="1"/>
    <col min="15372" max="15373" width="9.140625" style="60"/>
    <col min="15374" max="15374" width="12.28515625" style="60" customWidth="1"/>
    <col min="15375" max="15598" width="9.140625" style="60"/>
    <col min="15599" max="15599" width="38" style="60" customWidth="1"/>
    <col min="15600" max="15600" width="8" style="60" customWidth="1"/>
    <col min="15601" max="15601" width="12.140625" style="60" customWidth="1"/>
    <col min="15602" max="15602" width="8.5703125" style="60" customWidth="1"/>
    <col min="15603" max="15603" width="11.42578125" style="60" customWidth="1"/>
    <col min="15604" max="15604" width="7.140625" style="60" customWidth="1"/>
    <col min="15605" max="15605" width="10.7109375" style="60" customWidth="1"/>
    <col min="15606" max="15606" width="7.42578125" style="60" customWidth="1"/>
    <col min="15607" max="15607" width="11" style="60" customWidth="1"/>
    <col min="15608" max="15608" width="8.5703125" style="60" customWidth="1"/>
    <col min="15609" max="15609" width="11" style="60" customWidth="1"/>
    <col min="15610" max="15610" width="8.42578125" style="60" customWidth="1"/>
    <col min="15611" max="15611" width="11.28515625" style="60" customWidth="1"/>
    <col min="15612" max="15612" width="7.140625" style="60" customWidth="1"/>
    <col min="15613" max="15613" width="9.42578125" style="60" customWidth="1"/>
    <col min="15614" max="15614" width="7.140625" style="60" customWidth="1"/>
    <col min="15615" max="15615" width="9.85546875" style="60" customWidth="1"/>
    <col min="15616" max="15616" width="7.85546875" style="60" customWidth="1"/>
    <col min="15617" max="15617" width="11" style="60" customWidth="1"/>
    <col min="15618" max="15618" width="7.85546875" style="60" customWidth="1"/>
    <col min="15619" max="15619" width="10.5703125" style="60" customWidth="1"/>
    <col min="15620" max="15620" width="7.28515625" style="60" customWidth="1"/>
    <col min="15621" max="15621" width="10.140625" style="60" customWidth="1"/>
    <col min="15622" max="15622" width="7.7109375" style="60" customWidth="1"/>
    <col min="15623" max="15623" width="9.85546875" style="60" customWidth="1"/>
    <col min="15624" max="15624" width="8.28515625" style="60" customWidth="1"/>
    <col min="15625" max="15625" width="11.140625" style="60" customWidth="1"/>
    <col min="15626" max="15626" width="7.85546875" style="60" customWidth="1"/>
    <col min="15627" max="15627" width="11.5703125" style="60" customWidth="1"/>
    <col min="15628" max="15629" width="9.140625" style="60"/>
    <col min="15630" max="15630" width="12.28515625" style="60" customWidth="1"/>
    <col min="15631" max="15854" width="9.140625" style="60"/>
    <col min="15855" max="15855" width="38" style="60" customWidth="1"/>
    <col min="15856" max="15856" width="8" style="60" customWidth="1"/>
    <col min="15857" max="15857" width="12.140625" style="60" customWidth="1"/>
    <col min="15858" max="15858" width="8.5703125" style="60" customWidth="1"/>
    <col min="15859" max="15859" width="11.42578125" style="60" customWidth="1"/>
    <col min="15860" max="15860" width="7.140625" style="60" customWidth="1"/>
    <col min="15861" max="15861" width="10.7109375" style="60" customWidth="1"/>
    <col min="15862" max="15862" width="7.42578125" style="60" customWidth="1"/>
    <col min="15863" max="15863" width="11" style="60" customWidth="1"/>
    <col min="15864" max="15864" width="8.5703125" style="60" customWidth="1"/>
    <col min="15865" max="15865" width="11" style="60" customWidth="1"/>
    <col min="15866" max="15866" width="8.42578125" style="60" customWidth="1"/>
    <col min="15867" max="15867" width="11.28515625" style="60" customWidth="1"/>
    <col min="15868" max="15868" width="7.140625" style="60" customWidth="1"/>
    <col min="15869" max="15869" width="9.42578125" style="60" customWidth="1"/>
    <col min="15870" max="15870" width="7.140625" style="60" customWidth="1"/>
    <col min="15871" max="15871" width="9.85546875" style="60" customWidth="1"/>
    <col min="15872" max="15872" width="7.85546875" style="60" customWidth="1"/>
    <col min="15873" max="15873" width="11" style="60" customWidth="1"/>
    <col min="15874" max="15874" width="7.85546875" style="60" customWidth="1"/>
    <col min="15875" max="15875" width="10.5703125" style="60" customWidth="1"/>
    <col min="15876" max="15876" width="7.28515625" style="60" customWidth="1"/>
    <col min="15877" max="15877" width="10.140625" style="60" customWidth="1"/>
    <col min="15878" max="15878" width="7.7109375" style="60" customWidth="1"/>
    <col min="15879" max="15879" width="9.85546875" style="60" customWidth="1"/>
    <col min="15880" max="15880" width="8.28515625" style="60" customWidth="1"/>
    <col min="15881" max="15881" width="11.140625" style="60" customWidth="1"/>
    <col min="15882" max="15882" width="7.85546875" style="60" customWidth="1"/>
    <col min="15883" max="15883" width="11.5703125" style="60" customWidth="1"/>
    <col min="15884" max="15885" width="9.140625" style="60"/>
    <col min="15886" max="15886" width="12.28515625" style="60" customWidth="1"/>
    <col min="15887" max="16110" width="9.140625" style="60"/>
    <col min="16111" max="16111" width="38" style="60" customWidth="1"/>
    <col min="16112" max="16112" width="8" style="60" customWidth="1"/>
    <col min="16113" max="16113" width="12.140625" style="60" customWidth="1"/>
    <col min="16114" max="16114" width="8.5703125" style="60" customWidth="1"/>
    <col min="16115" max="16115" width="11.42578125" style="60" customWidth="1"/>
    <col min="16116" max="16116" width="7.140625" style="60" customWidth="1"/>
    <col min="16117" max="16117" width="10.7109375" style="60" customWidth="1"/>
    <col min="16118" max="16118" width="7.42578125" style="60" customWidth="1"/>
    <col min="16119" max="16119" width="11" style="60" customWidth="1"/>
    <col min="16120" max="16120" width="8.5703125" style="60" customWidth="1"/>
    <col min="16121" max="16121" width="11" style="60" customWidth="1"/>
    <col min="16122" max="16122" width="8.42578125" style="60" customWidth="1"/>
    <col min="16123" max="16123" width="11.28515625" style="60" customWidth="1"/>
    <col min="16124" max="16124" width="7.140625" style="60" customWidth="1"/>
    <col min="16125" max="16125" width="9.42578125" style="60" customWidth="1"/>
    <col min="16126" max="16126" width="7.140625" style="60" customWidth="1"/>
    <col min="16127" max="16127" width="9.85546875" style="60" customWidth="1"/>
    <col min="16128" max="16128" width="7.85546875" style="60" customWidth="1"/>
    <col min="16129" max="16129" width="11" style="60" customWidth="1"/>
    <col min="16130" max="16130" width="7.85546875" style="60" customWidth="1"/>
    <col min="16131" max="16131" width="10.5703125" style="60" customWidth="1"/>
    <col min="16132" max="16132" width="7.28515625" style="60" customWidth="1"/>
    <col min="16133" max="16133" width="10.140625" style="60" customWidth="1"/>
    <col min="16134" max="16134" width="7.7109375" style="60" customWidth="1"/>
    <col min="16135" max="16135" width="9.85546875" style="60" customWidth="1"/>
    <col min="16136" max="16136" width="8.28515625" style="60" customWidth="1"/>
    <col min="16137" max="16137" width="11.140625" style="60" customWidth="1"/>
    <col min="16138" max="16138" width="7.85546875" style="60" customWidth="1"/>
    <col min="16139" max="16139" width="11.5703125" style="60" customWidth="1"/>
    <col min="16140" max="16141" width="9.140625" style="60"/>
    <col min="16142" max="16142" width="12.28515625" style="60" customWidth="1"/>
    <col min="16143" max="16384" width="9.140625" style="60"/>
  </cols>
  <sheetData>
    <row r="1" spans="1:39" ht="15" x14ac:dyDescent="0.2">
      <c r="A1" s="199" t="s">
        <v>310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</row>
    <row r="2" spans="1:39" ht="14.25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 t="s">
        <v>311</v>
      </c>
    </row>
    <row r="3" spans="1:39" ht="15" x14ac:dyDescent="0.2">
      <c r="A3" s="201" t="s">
        <v>312</v>
      </c>
      <c r="B3" s="201" t="s">
        <v>4</v>
      </c>
      <c r="C3" s="159" t="s">
        <v>313</v>
      </c>
      <c r="D3" s="202"/>
      <c r="E3" s="202"/>
      <c r="F3" s="202"/>
      <c r="G3" s="203" t="s">
        <v>314</v>
      </c>
      <c r="H3" s="204"/>
      <c r="I3" s="204"/>
      <c r="J3" s="204"/>
      <c r="K3" s="203" t="s">
        <v>315</v>
      </c>
      <c r="L3" s="204"/>
      <c r="M3" s="204"/>
      <c r="N3" s="203" t="s">
        <v>316</v>
      </c>
      <c r="O3" s="203" t="s">
        <v>317</v>
      </c>
    </row>
    <row r="4" spans="1:39" ht="25.5" x14ac:dyDescent="0.2">
      <c r="A4" s="201"/>
      <c r="B4" s="201"/>
      <c r="C4" s="119" t="s">
        <v>318</v>
      </c>
      <c r="D4" s="119" t="s">
        <v>319</v>
      </c>
      <c r="E4" s="119" t="s">
        <v>320</v>
      </c>
      <c r="F4" s="119" t="s">
        <v>5</v>
      </c>
      <c r="G4" s="119" t="s">
        <v>318</v>
      </c>
      <c r="H4" s="119" t="s">
        <v>319</v>
      </c>
      <c r="I4" s="119" t="s">
        <v>320</v>
      </c>
      <c r="J4" s="119" t="s">
        <v>5</v>
      </c>
      <c r="K4" s="119" t="s">
        <v>321</v>
      </c>
      <c r="L4" s="119" t="s">
        <v>322</v>
      </c>
      <c r="M4" s="119" t="s">
        <v>5</v>
      </c>
      <c r="N4" s="203"/>
      <c r="O4" s="203"/>
    </row>
    <row r="5" spans="1:39" x14ac:dyDescent="0.2">
      <c r="A5" s="120" t="s">
        <v>323</v>
      </c>
      <c r="B5" s="121">
        <f>F5+J5+M5+N5+O5</f>
        <v>397</v>
      </c>
      <c r="C5" s="122">
        <v>392</v>
      </c>
      <c r="D5" s="122">
        <f>33-28</f>
        <v>5</v>
      </c>
      <c r="E5" s="122"/>
      <c r="F5" s="122">
        <f t="shared" ref="F5:F49" si="0">C5+D5+E5</f>
        <v>397</v>
      </c>
      <c r="G5" s="122"/>
      <c r="H5" s="122"/>
      <c r="I5" s="122"/>
      <c r="J5" s="122"/>
      <c r="K5" s="122"/>
      <c r="L5" s="122"/>
      <c r="M5" s="122"/>
      <c r="N5" s="122"/>
      <c r="O5" s="122"/>
    </row>
    <row r="6" spans="1:39" x14ac:dyDescent="0.2">
      <c r="A6" s="123" t="s">
        <v>14</v>
      </c>
      <c r="B6" s="121">
        <f t="shared" ref="B6:B49" si="1">F6+J6+M6+N6+O6</f>
        <v>1777</v>
      </c>
      <c r="C6" s="122">
        <v>1582</v>
      </c>
      <c r="D6" s="122">
        <v>195</v>
      </c>
      <c r="E6" s="122"/>
      <c r="F6" s="122">
        <f t="shared" si="0"/>
        <v>1777</v>
      </c>
      <c r="G6" s="122"/>
      <c r="H6" s="122"/>
      <c r="I6" s="122"/>
      <c r="J6" s="122"/>
      <c r="K6" s="122"/>
      <c r="L6" s="122"/>
      <c r="M6" s="122"/>
      <c r="N6" s="122"/>
      <c r="O6" s="122"/>
    </row>
    <row r="7" spans="1:39" x14ac:dyDescent="0.2">
      <c r="A7" s="123" t="s">
        <v>20</v>
      </c>
      <c r="B7" s="121">
        <f t="shared" si="1"/>
        <v>2707</v>
      </c>
      <c r="C7" s="124">
        <f>2520+87</f>
        <v>2607</v>
      </c>
      <c r="D7" s="122"/>
      <c r="E7" s="122">
        <v>100</v>
      </c>
      <c r="F7" s="122">
        <f t="shared" si="0"/>
        <v>2707</v>
      </c>
      <c r="G7" s="122"/>
      <c r="H7" s="122"/>
      <c r="I7" s="122"/>
      <c r="J7" s="122"/>
      <c r="K7" s="122"/>
      <c r="L7" s="122"/>
      <c r="M7" s="122"/>
      <c r="N7" s="122"/>
      <c r="O7" s="122"/>
    </row>
    <row r="8" spans="1:39" x14ac:dyDescent="0.2">
      <c r="A8" s="123" t="s">
        <v>26</v>
      </c>
      <c r="B8" s="121">
        <f t="shared" si="1"/>
        <v>1200</v>
      </c>
      <c r="C8" s="122">
        <f>1624-424</f>
        <v>1200</v>
      </c>
      <c r="D8" s="122"/>
      <c r="E8" s="122"/>
      <c r="F8" s="122">
        <f t="shared" si="0"/>
        <v>1200</v>
      </c>
      <c r="G8" s="122"/>
      <c r="H8" s="122"/>
      <c r="I8" s="122"/>
      <c r="J8" s="122"/>
      <c r="K8" s="122"/>
      <c r="L8" s="122"/>
      <c r="M8" s="122"/>
      <c r="N8" s="122"/>
      <c r="O8" s="122"/>
    </row>
    <row r="9" spans="1:39" x14ac:dyDescent="0.2">
      <c r="A9" s="123" t="s">
        <v>53</v>
      </c>
      <c r="B9" s="122">
        <f t="shared" si="1"/>
        <v>2391</v>
      </c>
      <c r="C9" s="124">
        <f>2600-300-203+60</f>
        <v>2157</v>
      </c>
      <c r="D9" s="122">
        <f>280-150-124</f>
        <v>6</v>
      </c>
      <c r="E9" s="122">
        <f>0+104+124</f>
        <v>228</v>
      </c>
      <c r="F9" s="122">
        <f t="shared" si="0"/>
        <v>2391</v>
      </c>
      <c r="G9" s="122"/>
      <c r="H9" s="122"/>
      <c r="I9" s="122"/>
      <c r="J9" s="122"/>
      <c r="K9" s="122"/>
      <c r="L9" s="122"/>
      <c r="M9" s="122"/>
      <c r="N9" s="122"/>
      <c r="O9" s="122"/>
    </row>
    <row r="10" spans="1:39" x14ac:dyDescent="0.2">
      <c r="A10" s="120" t="s">
        <v>39</v>
      </c>
      <c r="B10" s="122">
        <f t="shared" si="1"/>
        <v>261</v>
      </c>
      <c r="C10" s="122">
        <f>389-64-64</f>
        <v>261</v>
      </c>
      <c r="D10" s="122"/>
      <c r="E10" s="122"/>
      <c r="F10" s="122">
        <f t="shared" si="0"/>
        <v>261</v>
      </c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39" x14ac:dyDescent="0.2">
      <c r="A11" s="120" t="s">
        <v>64</v>
      </c>
      <c r="B11" s="122">
        <f t="shared" si="1"/>
        <v>1290</v>
      </c>
      <c r="C11" s="122">
        <v>1290</v>
      </c>
      <c r="D11" s="122"/>
      <c r="E11" s="122"/>
      <c r="F11" s="122">
        <f t="shared" si="0"/>
        <v>1290</v>
      </c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39" x14ac:dyDescent="0.2">
      <c r="A12" s="123" t="s">
        <v>324</v>
      </c>
      <c r="B12" s="122">
        <f t="shared" si="1"/>
        <v>3253</v>
      </c>
      <c r="C12" s="124">
        <f>2500+300+203+2</f>
        <v>3005</v>
      </c>
      <c r="D12" s="122">
        <v>248</v>
      </c>
      <c r="E12" s="122"/>
      <c r="F12" s="122">
        <f t="shared" si="0"/>
        <v>3253</v>
      </c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39" x14ac:dyDescent="0.2">
      <c r="A13" s="125" t="s">
        <v>325</v>
      </c>
      <c r="B13" s="122">
        <f t="shared" si="1"/>
        <v>2143</v>
      </c>
      <c r="C13" s="122">
        <v>1920</v>
      </c>
      <c r="D13" s="122">
        <v>223</v>
      </c>
      <c r="E13" s="122"/>
      <c r="F13" s="122">
        <f t="shared" si="0"/>
        <v>2143</v>
      </c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39" x14ac:dyDescent="0.2">
      <c r="A14" s="123" t="s">
        <v>326</v>
      </c>
      <c r="B14" s="122">
        <f t="shared" si="1"/>
        <v>1989</v>
      </c>
      <c r="C14" s="122">
        <f>4400-1100-1487</f>
        <v>1813</v>
      </c>
      <c r="D14" s="122">
        <f>440-264</f>
        <v>176</v>
      </c>
      <c r="E14" s="122"/>
      <c r="F14" s="122">
        <f t="shared" si="0"/>
        <v>1989</v>
      </c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39" x14ac:dyDescent="0.2">
      <c r="A15" s="123" t="s">
        <v>327</v>
      </c>
      <c r="B15" s="122">
        <f t="shared" si="1"/>
        <v>1655</v>
      </c>
      <c r="C15" s="122">
        <f>1500-50</f>
        <v>1450</v>
      </c>
      <c r="D15" s="122">
        <v>105</v>
      </c>
      <c r="E15" s="122">
        <v>100</v>
      </c>
      <c r="F15" s="122">
        <f t="shared" si="0"/>
        <v>1655</v>
      </c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39" x14ac:dyDescent="0.2">
      <c r="A16" s="123" t="s">
        <v>328</v>
      </c>
      <c r="B16" s="122">
        <f t="shared" si="1"/>
        <v>39089</v>
      </c>
      <c r="C16" s="122">
        <f>3200+150</f>
        <v>3350</v>
      </c>
      <c r="D16" s="122">
        <f>250-100</f>
        <v>150</v>
      </c>
      <c r="E16" s="122">
        <f>100-50-1</f>
        <v>49</v>
      </c>
      <c r="F16" s="122">
        <f t="shared" si="0"/>
        <v>3549</v>
      </c>
      <c r="G16" s="122">
        <v>1440</v>
      </c>
      <c r="H16" s="122">
        <v>100</v>
      </c>
      <c r="I16" s="122"/>
      <c r="J16" s="122">
        <f>G16+H16+I16</f>
        <v>1540</v>
      </c>
      <c r="K16" s="122"/>
      <c r="L16" s="122"/>
      <c r="M16" s="121"/>
      <c r="N16" s="122">
        <f>30000+4000</f>
        <v>34000</v>
      </c>
      <c r="O16" s="122"/>
    </row>
    <row r="17" spans="1:15" x14ac:dyDescent="0.2">
      <c r="A17" s="123" t="s">
        <v>329</v>
      </c>
      <c r="B17" s="122">
        <f t="shared" si="1"/>
        <v>3793</v>
      </c>
      <c r="C17" s="122">
        <f>3300+100</f>
        <v>3400</v>
      </c>
      <c r="D17" s="122">
        <v>393</v>
      </c>
      <c r="E17" s="122"/>
      <c r="F17" s="122">
        <f t="shared" si="0"/>
        <v>3793</v>
      </c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x14ac:dyDescent="0.2">
      <c r="A18" s="123" t="s">
        <v>271</v>
      </c>
      <c r="B18" s="122">
        <f t="shared" si="1"/>
        <v>3074</v>
      </c>
      <c r="C18" s="122">
        <f>2700+1</f>
        <v>2701</v>
      </c>
      <c r="D18" s="122">
        <f>400-150</f>
        <v>250</v>
      </c>
      <c r="E18" s="122">
        <f>20+103</f>
        <v>123</v>
      </c>
      <c r="F18" s="122">
        <f t="shared" si="0"/>
        <v>3074</v>
      </c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x14ac:dyDescent="0.2">
      <c r="A19" s="123" t="s">
        <v>272</v>
      </c>
      <c r="B19" s="122">
        <f t="shared" si="1"/>
        <v>2593</v>
      </c>
      <c r="C19" s="124">
        <f>2300-87+290</f>
        <v>2503</v>
      </c>
      <c r="D19" s="122">
        <v>85</v>
      </c>
      <c r="E19" s="122">
        <v>5</v>
      </c>
      <c r="F19" s="122">
        <f t="shared" si="0"/>
        <v>2593</v>
      </c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x14ac:dyDescent="0.2">
      <c r="A20" s="123" t="s">
        <v>330</v>
      </c>
      <c r="B20" s="122">
        <f t="shared" si="1"/>
        <v>1850</v>
      </c>
      <c r="C20" s="122">
        <v>1850</v>
      </c>
      <c r="D20" s="122"/>
      <c r="E20" s="122"/>
      <c r="F20" s="122">
        <f t="shared" si="0"/>
        <v>1850</v>
      </c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x14ac:dyDescent="0.2">
      <c r="A21" s="123" t="s">
        <v>331</v>
      </c>
      <c r="B21" s="122">
        <f t="shared" si="1"/>
        <v>1000</v>
      </c>
      <c r="C21" s="122">
        <f>1200-200</f>
        <v>1000</v>
      </c>
      <c r="D21" s="122"/>
      <c r="E21" s="122"/>
      <c r="F21" s="122">
        <f t="shared" si="0"/>
        <v>1000</v>
      </c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x14ac:dyDescent="0.2">
      <c r="A22" s="123" t="s">
        <v>332</v>
      </c>
      <c r="B22" s="122">
        <f t="shared" si="1"/>
        <v>5730</v>
      </c>
      <c r="C22" s="122">
        <f>5380+40</f>
        <v>5420</v>
      </c>
      <c r="D22" s="122">
        <v>310</v>
      </c>
      <c r="E22" s="122"/>
      <c r="F22" s="122">
        <f t="shared" si="0"/>
        <v>5730</v>
      </c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x14ac:dyDescent="0.2">
      <c r="A23" s="123" t="s">
        <v>273</v>
      </c>
      <c r="B23" s="122">
        <f t="shared" si="1"/>
        <v>8139</v>
      </c>
      <c r="C23" s="122">
        <f>3500+100+100</f>
        <v>3700</v>
      </c>
      <c r="D23" s="122">
        <v>390</v>
      </c>
      <c r="E23" s="122">
        <v>200</v>
      </c>
      <c r="F23" s="122">
        <f t="shared" si="0"/>
        <v>4290</v>
      </c>
      <c r="G23" s="122">
        <v>3544</v>
      </c>
      <c r="H23" s="122">
        <v>205</v>
      </c>
      <c r="I23" s="122">
        <v>100</v>
      </c>
      <c r="J23" s="122">
        <f>G23+H23+I23</f>
        <v>3849</v>
      </c>
      <c r="K23" s="122"/>
      <c r="L23" s="122"/>
      <c r="M23" s="122"/>
      <c r="N23" s="122"/>
      <c r="O23" s="122"/>
    </row>
    <row r="24" spans="1:15" x14ac:dyDescent="0.2">
      <c r="A24" s="123" t="s">
        <v>71</v>
      </c>
      <c r="B24" s="122">
        <f t="shared" si="1"/>
        <v>1080</v>
      </c>
      <c r="C24" s="122">
        <f>835+60</f>
        <v>895</v>
      </c>
      <c r="D24" s="122">
        <f>150+35</f>
        <v>185</v>
      </c>
      <c r="E24" s="122"/>
      <c r="F24" s="122">
        <f t="shared" si="0"/>
        <v>1080</v>
      </c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 x14ac:dyDescent="0.2">
      <c r="A25" s="123" t="s">
        <v>333</v>
      </c>
      <c r="B25" s="122">
        <f t="shared" si="1"/>
        <v>10895</v>
      </c>
      <c r="C25" s="122">
        <f>6500+22</f>
        <v>6522</v>
      </c>
      <c r="D25" s="122"/>
      <c r="E25" s="122">
        <f>2130+8</f>
        <v>2138</v>
      </c>
      <c r="F25" s="122">
        <f t="shared" si="0"/>
        <v>8660</v>
      </c>
      <c r="G25" s="122">
        <f>2000+106+24</f>
        <v>2130</v>
      </c>
      <c r="H25" s="122">
        <f>100+5</f>
        <v>105</v>
      </c>
      <c r="I25" s="122"/>
      <c r="J25" s="122">
        <f>G25+H25+I25</f>
        <v>2235</v>
      </c>
      <c r="K25" s="122"/>
      <c r="L25" s="122"/>
      <c r="M25" s="122"/>
      <c r="N25" s="122"/>
      <c r="O25" s="122"/>
    </row>
    <row r="26" spans="1:15" x14ac:dyDescent="0.2">
      <c r="A26" s="125" t="s">
        <v>334</v>
      </c>
      <c r="B26" s="122">
        <f t="shared" si="1"/>
        <v>7800</v>
      </c>
      <c r="C26" s="122">
        <f>5200+100-100</f>
        <v>5200</v>
      </c>
      <c r="D26" s="122">
        <v>600</v>
      </c>
      <c r="E26" s="122"/>
      <c r="F26" s="122">
        <f t="shared" si="0"/>
        <v>5800</v>
      </c>
      <c r="G26" s="122"/>
      <c r="H26" s="122"/>
      <c r="I26" s="122"/>
      <c r="J26" s="122"/>
      <c r="K26" s="122">
        <v>2000</v>
      </c>
      <c r="L26" s="122"/>
      <c r="M26" s="122">
        <f>K26+L26</f>
        <v>2000</v>
      </c>
      <c r="N26" s="122"/>
      <c r="O26" s="122"/>
    </row>
    <row r="27" spans="1:15" x14ac:dyDescent="0.2">
      <c r="A27" s="125" t="s">
        <v>335</v>
      </c>
      <c r="B27" s="122">
        <f t="shared" si="1"/>
        <v>11800</v>
      </c>
      <c r="C27" s="122">
        <f>5200-25</f>
        <v>5175</v>
      </c>
      <c r="D27" s="122">
        <v>700</v>
      </c>
      <c r="E27" s="122">
        <f>1000-3</f>
        <v>997</v>
      </c>
      <c r="F27" s="122">
        <f t="shared" si="0"/>
        <v>6872</v>
      </c>
      <c r="G27" s="126">
        <f>4576-193</f>
        <v>4383</v>
      </c>
      <c r="H27" s="122">
        <v>445</v>
      </c>
      <c r="I27" s="122">
        <v>100</v>
      </c>
      <c r="J27" s="122">
        <f>G27+H27+I27</f>
        <v>4928</v>
      </c>
      <c r="K27" s="122"/>
      <c r="L27" s="122"/>
      <c r="M27" s="122"/>
      <c r="N27" s="122"/>
      <c r="O27" s="122"/>
    </row>
    <row r="28" spans="1:15" x14ac:dyDescent="0.2">
      <c r="A28" s="123" t="s">
        <v>336</v>
      </c>
      <c r="B28" s="122">
        <f t="shared" si="1"/>
        <v>4200</v>
      </c>
      <c r="C28" s="122">
        <v>2200</v>
      </c>
      <c r="D28" s="122"/>
      <c r="E28" s="122"/>
      <c r="F28" s="122">
        <f t="shared" si="0"/>
        <v>2200</v>
      </c>
      <c r="G28" s="127">
        <v>2000</v>
      </c>
      <c r="H28" s="122"/>
      <c r="I28" s="122"/>
      <c r="J28" s="122">
        <f>G28+H28+I28</f>
        <v>2000</v>
      </c>
      <c r="K28" s="122"/>
      <c r="L28" s="122"/>
      <c r="M28" s="122"/>
      <c r="N28" s="122"/>
      <c r="O28" s="122"/>
    </row>
    <row r="29" spans="1:15" x14ac:dyDescent="0.2">
      <c r="A29" s="123" t="s">
        <v>337</v>
      </c>
      <c r="B29" s="122">
        <f t="shared" si="1"/>
        <v>21633</v>
      </c>
      <c r="C29" s="122">
        <f>9800-800+50</f>
        <v>9050</v>
      </c>
      <c r="D29" s="122"/>
      <c r="E29" s="122">
        <f>1065+240</f>
        <v>1305</v>
      </c>
      <c r="F29" s="122">
        <f t="shared" si="0"/>
        <v>10355</v>
      </c>
      <c r="G29" s="127">
        <f>5550-24</f>
        <v>5526</v>
      </c>
      <c r="H29" s="122"/>
      <c r="I29" s="122">
        <f>660-40</f>
        <v>620</v>
      </c>
      <c r="J29" s="121">
        <f>G29+H29+I29</f>
        <v>6146</v>
      </c>
      <c r="K29" s="122">
        <f>4000+50</f>
        <v>4050</v>
      </c>
      <c r="L29" s="122">
        <f>1050+32</f>
        <v>1082</v>
      </c>
      <c r="M29" s="122">
        <f>K29+L29</f>
        <v>5132</v>
      </c>
      <c r="N29" s="122"/>
      <c r="O29" s="122"/>
    </row>
    <row r="30" spans="1:15" x14ac:dyDescent="0.2">
      <c r="A30" s="123" t="s">
        <v>3</v>
      </c>
      <c r="B30" s="122">
        <f t="shared" si="1"/>
        <v>3290</v>
      </c>
      <c r="C30" s="122">
        <v>630</v>
      </c>
      <c r="D30" s="122"/>
      <c r="E30" s="122">
        <v>1760</v>
      </c>
      <c r="F30" s="122">
        <f t="shared" si="0"/>
        <v>2390</v>
      </c>
      <c r="G30" s="127"/>
      <c r="H30" s="122"/>
      <c r="I30" s="122"/>
      <c r="J30" s="122"/>
      <c r="K30" s="122">
        <v>900</v>
      </c>
      <c r="L30" s="122"/>
      <c r="M30" s="122">
        <f>K30+L30</f>
        <v>900</v>
      </c>
      <c r="N30" s="122"/>
      <c r="O30" s="122"/>
    </row>
    <row r="31" spans="1:15" x14ac:dyDescent="0.2">
      <c r="A31" s="123" t="s">
        <v>7</v>
      </c>
      <c r="B31" s="122">
        <f t="shared" si="1"/>
        <v>215905</v>
      </c>
      <c r="C31" s="122">
        <f>11000</f>
        <v>11000</v>
      </c>
      <c r="D31" s="122">
        <f>46-45</f>
        <v>1</v>
      </c>
      <c r="E31" s="122">
        <f>4310+31</f>
        <v>4341</v>
      </c>
      <c r="F31" s="122">
        <f t="shared" si="0"/>
        <v>15342</v>
      </c>
      <c r="G31" s="127">
        <v>5070</v>
      </c>
      <c r="H31" s="122">
        <f>10-7</f>
        <v>3</v>
      </c>
      <c r="I31" s="122">
        <f>385+5</f>
        <v>390</v>
      </c>
      <c r="J31" s="122">
        <f>G31+H31+I31</f>
        <v>5463</v>
      </c>
      <c r="K31" s="122">
        <v>6100</v>
      </c>
      <c r="L31" s="122"/>
      <c r="M31" s="122">
        <f>K31+L31</f>
        <v>6100</v>
      </c>
      <c r="N31" s="122">
        <v>189000</v>
      </c>
      <c r="O31" s="122"/>
    </row>
    <row r="32" spans="1:15" x14ac:dyDescent="0.2">
      <c r="A32" s="123" t="s">
        <v>25</v>
      </c>
      <c r="B32" s="122">
        <f t="shared" si="1"/>
        <v>2214</v>
      </c>
      <c r="C32" s="122">
        <v>2060</v>
      </c>
      <c r="D32" s="122">
        <v>25</v>
      </c>
      <c r="E32" s="122">
        <f>132-3</f>
        <v>129</v>
      </c>
      <c r="F32" s="122">
        <f t="shared" si="0"/>
        <v>2214</v>
      </c>
      <c r="G32" s="127"/>
      <c r="H32" s="122"/>
      <c r="I32" s="122"/>
      <c r="J32" s="122"/>
      <c r="K32" s="122"/>
      <c r="L32" s="122"/>
      <c r="M32" s="122"/>
      <c r="N32" s="122"/>
      <c r="O32" s="122"/>
    </row>
    <row r="33" spans="1:15" x14ac:dyDescent="0.2">
      <c r="A33" s="123" t="s">
        <v>1</v>
      </c>
      <c r="B33" s="122">
        <f t="shared" si="1"/>
        <v>1428</v>
      </c>
      <c r="C33" s="122">
        <f>900+64+64</f>
        <v>1028</v>
      </c>
      <c r="D33" s="122">
        <v>400</v>
      </c>
      <c r="E33" s="122"/>
      <c r="F33" s="122">
        <f t="shared" si="0"/>
        <v>1428</v>
      </c>
      <c r="G33" s="127"/>
      <c r="H33" s="122"/>
      <c r="I33" s="122"/>
      <c r="J33" s="122"/>
      <c r="K33" s="122"/>
      <c r="L33" s="122"/>
      <c r="M33" s="122"/>
      <c r="N33" s="122"/>
      <c r="O33" s="122"/>
    </row>
    <row r="34" spans="1:15" x14ac:dyDescent="0.2">
      <c r="A34" s="123" t="s">
        <v>338</v>
      </c>
      <c r="B34" s="122">
        <f t="shared" si="1"/>
        <v>2238</v>
      </c>
      <c r="C34" s="122">
        <v>2200</v>
      </c>
      <c r="D34" s="122">
        <f>199-196</f>
        <v>3</v>
      </c>
      <c r="E34" s="122">
        <v>35</v>
      </c>
      <c r="F34" s="122">
        <f t="shared" si="0"/>
        <v>2238</v>
      </c>
      <c r="G34" s="127"/>
      <c r="H34" s="122"/>
      <c r="I34" s="122"/>
      <c r="J34" s="122"/>
      <c r="K34" s="122"/>
      <c r="L34" s="122"/>
      <c r="M34" s="122"/>
      <c r="N34" s="122"/>
      <c r="O34" s="122"/>
    </row>
    <row r="35" spans="1:15" x14ac:dyDescent="0.2">
      <c r="A35" s="123" t="s">
        <v>339</v>
      </c>
      <c r="B35" s="122">
        <f t="shared" si="1"/>
        <v>378</v>
      </c>
      <c r="C35" s="122">
        <v>344</v>
      </c>
      <c r="D35" s="122">
        <v>34</v>
      </c>
      <c r="E35" s="122"/>
      <c r="F35" s="122">
        <f t="shared" si="0"/>
        <v>378</v>
      </c>
      <c r="G35" s="127"/>
      <c r="H35" s="122"/>
      <c r="I35" s="122"/>
      <c r="J35" s="122"/>
      <c r="K35" s="122"/>
      <c r="L35" s="122"/>
      <c r="M35" s="122"/>
      <c r="N35" s="122"/>
      <c r="O35" s="122"/>
    </row>
    <row r="36" spans="1:15" x14ac:dyDescent="0.2">
      <c r="A36" s="123" t="s">
        <v>340</v>
      </c>
      <c r="B36" s="122">
        <f t="shared" si="1"/>
        <v>2275</v>
      </c>
      <c r="C36" s="122">
        <f>1650+50+400</f>
        <v>2100</v>
      </c>
      <c r="D36" s="122">
        <f>128+15</f>
        <v>143</v>
      </c>
      <c r="E36" s="122">
        <f>26+7-1</f>
        <v>32</v>
      </c>
      <c r="F36" s="122">
        <f t="shared" si="0"/>
        <v>2275</v>
      </c>
      <c r="G36" s="127"/>
      <c r="H36" s="122"/>
      <c r="I36" s="122"/>
      <c r="J36" s="122"/>
      <c r="K36" s="122"/>
      <c r="L36" s="122"/>
      <c r="M36" s="122"/>
      <c r="N36" s="122"/>
      <c r="O36" s="122"/>
    </row>
    <row r="37" spans="1:15" x14ac:dyDescent="0.2">
      <c r="A37" s="123" t="s">
        <v>341</v>
      </c>
      <c r="B37" s="122">
        <f t="shared" si="1"/>
        <v>1235</v>
      </c>
      <c r="C37" s="122"/>
      <c r="D37" s="122"/>
      <c r="E37" s="122"/>
      <c r="F37" s="122">
        <f t="shared" si="0"/>
        <v>0</v>
      </c>
      <c r="G37" s="127">
        <v>1235</v>
      </c>
      <c r="H37" s="122"/>
      <c r="I37" s="122"/>
      <c r="J37" s="122">
        <f>G37+H37+I37</f>
        <v>1235</v>
      </c>
      <c r="K37" s="122"/>
      <c r="L37" s="122"/>
      <c r="M37" s="122"/>
      <c r="N37" s="122"/>
      <c r="O37" s="122"/>
    </row>
    <row r="38" spans="1:15" x14ac:dyDescent="0.2">
      <c r="A38" s="123" t="s">
        <v>342</v>
      </c>
      <c r="B38" s="122">
        <f t="shared" si="1"/>
        <v>2735</v>
      </c>
      <c r="C38" s="122">
        <v>2475</v>
      </c>
      <c r="D38" s="122">
        <v>260</v>
      </c>
      <c r="E38" s="122"/>
      <c r="F38" s="122">
        <f t="shared" si="0"/>
        <v>2735</v>
      </c>
      <c r="G38" s="127"/>
      <c r="H38" s="122"/>
      <c r="I38" s="122"/>
      <c r="J38" s="122"/>
      <c r="K38" s="122"/>
      <c r="L38" s="122"/>
      <c r="M38" s="122"/>
      <c r="N38" s="122"/>
      <c r="O38" s="122"/>
    </row>
    <row r="39" spans="1:15" x14ac:dyDescent="0.2">
      <c r="A39" s="123" t="s">
        <v>79</v>
      </c>
      <c r="B39" s="122">
        <f t="shared" si="1"/>
        <v>220</v>
      </c>
      <c r="C39" s="122">
        <v>220</v>
      </c>
      <c r="D39" s="122"/>
      <c r="E39" s="122"/>
      <c r="F39" s="122">
        <f t="shared" si="0"/>
        <v>220</v>
      </c>
      <c r="G39" s="127"/>
      <c r="H39" s="122"/>
      <c r="I39" s="122"/>
      <c r="J39" s="122"/>
      <c r="K39" s="122"/>
      <c r="L39" s="122"/>
      <c r="M39" s="122"/>
      <c r="N39" s="122"/>
      <c r="O39" s="122"/>
    </row>
    <row r="40" spans="1:15" x14ac:dyDescent="0.2">
      <c r="A40" s="123" t="s">
        <v>50</v>
      </c>
      <c r="B40" s="122">
        <f t="shared" si="1"/>
        <v>1588</v>
      </c>
      <c r="C40" s="122">
        <f>300+1100</f>
        <v>1400</v>
      </c>
      <c r="D40" s="122">
        <v>188</v>
      </c>
      <c r="E40" s="122"/>
      <c r="F40" s="122">
        <f t="shared" si="0"/>
        <v>1588</v>
      </c>
      <c r="G40" s="127"/>
      <c r="H40" s="122"/>
      <c r="I40" s="122"/>
      <c r="J40" s="122"/>
      <c r="K40" s="122"/>
      <c r="L40" s="122"/>
      <c r="M40" s="122"/>
      <c r="N40" s="122"/>
      <c r="O40" s="122"/>
    </row>
    <row r="41" spans="1:15" x14ac:dyDescent="0.2">
      <c r="A41" s="123" t="s">
        <v>2</v>
      </c>
      <c r="B41" s="122">
        <f t="shared" si="1"/>
        <v>1970</v>
      </c>
      <c r="C41" s="122">
        <v>1320</v>
      </c>
      <c r="D41" s="122">
        <v>150</v>
      </c>
      <c r="E41" s="122">
        <v>500</v>
      </c>
      <c r="F41" s="122">
        <f t="shared" si="0"/>
        <v>1970</v>
      </c>
      <c r="G41" s="127"/>
      <c r="H41" s="122"/>
      <c r="I41" s="122"/>
      <c r="J41" s="122"/>
      <c r="K41" s="122"/>
      <c r="L41" s="122"/>
      <c r="M41" s="122"/>
      <c r="N41" s="122"/>
      <c r="O41" s="122"/>
    </row>
    <row r="42" spans="1:15" x14ac:dyDescent="0.2">
      <c r="A42" s="123" t="s">
        <v>343</v>
      </c>
      <c r="B42" s="122">
        <f t="shared" si="1"/>
        <v>5000</v>
      </c>
      <c r="C42" s="122"/>
      <c r="D42" s="122"/>
      <c r="E42" s="122"/>
      <c r="F42" s="122">
        <f t="shared" si="0"/>
        <v>0</v>
      </c>
      <c r="G42" s="127"/>
      <c r="H42" s="122"/>
      <c r="I42" s="122"/>
      <c r="J42" s="122"/>
      <c r="K42" s="122"/>
      <c r="L42" s="122"/>
      <c r="M42" s="122"/>
      <c r="N42" s="122"/>
      <c r="O42" s="122">
        <v>5000</v>
      </c>
    </row>
    <row r="43" spans="1:15" x14ac:dyDescent="0.2">
      <c r="A43" s="128" t="s">
        <v>344</v>
      </c>
      <c r="B43" s="122">
        <f t="shared" si="1"/>
        <v>973</v>
      </c>
      <c r="C43" s="122">
        <v>885</v>
      </c>
      <c r="D43" s="122">
        <v>88</v>
      </c>
      <c r="E43" s="122"/>
      <c r="F43" s="122">
        <f t="shared" si="0"/>
        <v>973</v>
      </c>
      <c r="G43" s="127"/>
      <c r="H43" s="122"/>
      <c r="I43" s="122"/>
      <c r="J43" s="122"/>
      <c r="K43" s="122"/>
      <c r="L43" s="122"/>
      <c r="M43" s="122"/>
      <c r="N43" s="122"/>
      <c r="O43" s="122"/>
    </row>
    <row r="44" spans="1:15" x14ac:dyDescent="0.2">
      <c r="A44" s="129" t="s">
        <v>345</v>
      </c>
      <c r="B44" s="122">
        <f t="shared" si="1"/>
        <v>390</v>
      </c>
      <c r="C44" s="122"/>
      <c r="D44" s="122"/>
      <c r="E44" s="122"/>
      <c r="F44" s="122">
        <f t="shared" si="0"/>
        <v>0</v>
      </c>
      <c r="G44" s="127">
        <v>390</v>
      </c>
      <c r="H44" s="122"/>
      <c r="I44" s="122"/>
      <c r="J44" s="122">
        <f t="shared" ref="J44:J49" si="2">G44+H44+I44</f>
        <v>390</v>
      </c>
      <c r="K44" s="122"/>
      <c r="L44" s="122"/>
      <c r="M44" s="122"/>
      <c r="N44" s="122"/>
      <c r="O44" s="122"/>
    </row>
    <row r="45" spans="1:15" x14ac:dyDescent="0.2">
      <c r="A45" s="129" t="s">
        <v>346</v>
      </c>
      <c r="B45" s="122">
        <f t="shared" si="1"/>
        <v>3446</v>
      </c>
      <c r="C45" s="122"/>
      <c r="D45" s="122"/>
      <c r="E45" s="122"/>
      <c r="F45" s="122">
        <f t="shared" si="0"/>
        <v>0</v>
      </c>
      <c r="G45" s="126">
        <f>2000+93+1100</f>
        <v>3193</v>
      </c>
      <c r="H45" s="122">
        <f>0+50+40+87-5</f>
        <v>172</v>
      </c>
      <c r="I45" s="122">
        <f>100+45-64</f>
        <v>81</v>
      </c>
      <c r="J45" s="122">
        <f t="shared" si="2"/>
        <v>3446</v>
      </c>
      <c r="K45" s="122"/>
      <c r="L45" s="122"/>
      <c r="M45" s="122"/>
      <c r="N45" s="122"/>
      <c r="O45" s="122"/>
    </row>
    <row r="46" spans="1:15" ht="25.5" x14ac:dyDescent="0.2">
      <c r="A46" s="129" t="s">
        <v>347</v>
      </c>
      <c r="B46" s="122">
        <f t="shared" si="1"/>
        <v>738</v>
      </c>
      <c r="C46" s="122"/>
      <c r="D46" s="122"/>
      <c r="E46" s="122"/>
      <c r="F46" s="122">
        <f t="shared" si="0"/>
        <v>0</v>
      </c>
      <c r="G46" s="122">
        <v>700</v>
      </c>
      <c r="H46" s="122">
        <v>38</v>
      </c>
      <c r="I46" s="122"/>
      <c r="J46" s="122">
        <f t="shared" si="2"/>
        <v>738</v>
      </c>
      <c r="K46" s="122"/>
      <c r="L46" s="122"/>
      <c r="M46" s="122"/>
      <c r="N46" s="122"/>
      <c r="O46" s="122"/>
    </row>
    <row r="47" spans="1:15" x14ac:dyDescent="0.2">
      <c r="A47" s="129" t="s">
        <v>348</v>
      </c>
      <c r="B47" s="122">
        <f t="shared" si="1"/>
        <v>0</v>
      </c>
      <c r="C47" s="122"/>
      <c r="D47" s="122"/>
      <c r="E47" s="122"/>
      <c r="F47" s="122">
        <f t="shared" si="0"/>
        <v>0</v>
      </c>
      <c r="G47" s="122">
        <f>106-106</f>
        <v>0</v>
      </c>
      <c r="H47" s="122"/>
      <c r="I47" s="122"/>
      <c r="J47" s="122">
        <f t="shared" si="2"/>
        <v>0</v>
      </c>
      <c r="K47" s="130"/>
      <c r="L47" s="130"/>
      <c r="M47" s="122"/>
      <c r="N47" s="130"/>
      <c r="O47" s="130"/>
    </row>
    <row r="48" spans="1:15" x14ac:dyDescent="0.2">
      <c r="A48" s="129" t="s">
        <v>349</v>
      </c>
      <c r="B48" s="122">
        <f t="shared" si="1"/>
        <v>1169</v>
      </c>
      <c r="C48" s="122">
        <f>913+25</f>
        <v>938</v>
      </c>
      <c r="D48" s="122">
        <f>87+4</f>
        <v>91</v>
      </c>
      <c r="E48" s="122"/>
      <c r="F48" s="122">
        <f t="shared" si="0"/>
        <v>1029</v>
      </c>
      <c r="G48" s="122">
        <v>134</v>
      </c>
      <c r="H48" s="122">
        <v>6</v>
      </c>
      <c r="I48" s="122"/>
      <c r="J48" s="122">
        <f t="shared" si="2"/>
        <v>140</v>
      </c>
      <c r="K48" s="130"/>
      <c r="L48" s="130"/>
      <c r="M48" s="122"/>
      <c r="N48" s="130"/>
      <c r="O48" s="130"/>
    </row>
    <row r="49" spans="1:15" x14ac:dyDescent="0.2">
      <c r="A49" s="129" t="s">
        <v>350</v>
      </c>
      <c r="B49" s="122">
        <f t="shared" si="1"/>
        <v>725</v>
      </c>
      <c r="C49" s="122"/>
      <c r="D49" s="122"/>
      <c r="E49" s="122"/>
      <c r="F49" s="121">
        <f t="shared" si="0"/>
        <v>0</v>
      </c>
      <c r="G49" s="122">
        <f>625+100</f>
        <v>725</v>
      </c>
      <c r="H49" s="122"/>
      <c r="I49" s="122"/>
      <c r="J49" s="122">
        <f t="shared" si="2"/>
        <v>725</v>
      </c>
      <c r="K49" s="130"/>
      <c r="L49" s="130"/>
      <c r="M49" s="122"/>
      <c r="N49" s="130"/>
      <c r="O49" s="130"/>
    </row>
    <row r="50" spans="1:15" s="132" customFormat="1" x14ac:dyDescent="0.2">
      <c r="A50" s="131" t="s">
        <v>98</v>
      </c>
      <c r="B50" s="130">
        <f t="shared" ref="B50:O50" si="3">SUM(B5:B49)</f>
        <v>389656</v>
      </c>
      <c r="C50" s="130">
        <f t="shared" si="3"/>
        <v>97243</v>
      </c>
      <c r="D50" s="130">
        <f t="shared" si="3"/>
        <v>5404</v>
      </c>
      <c r="E50" s="130">
        <f t="shared" si="3"/>
        <v>12042</v>
      </c>
      <c r="F50" s="130">
        <f t="shared" si="3"/>
        <v>114689</v>
      </c>
      <c r="G50" s="130">
        <f t="shared" si="3"/>
        <v>30470</v>
      </c>
      <c r="H50" s="130">
        <f t="shared" si="3"/>
        <v>1074</v>
      </c>
      <c r="I50" s="130">
        <f t="shared" si="3"/>
        <v>1291</v>
      </c>
      <c r="J50" s="130">
        <f t="shared" si="3"/>
        <v>32835</v>
      </c>
      <c r="K50" s="130">
        <f t="shared" si="3"/>
        <v>13050</v>
      </c>
      <c r="L50" s="130">
        <f t="shared" si="3"/>
        <v>1082</v>
      </c>
      <c r="M50" s="130">
        <f t="shared" si="3"/>
        <v>14132</v>
      </c>
      <c r="N50" s="130">
        <f t="shared" si="3"/>
        <v>223000</v>
      </c>
      <c r="O50" s="130">
        <f t="shared" si="3"/>
        <v>5000</v>
      </c>
    </row>
    <row r="51" spans="1:15" s="59" customFormat="1" x14ac:dyDescent="0.2">
      <c r="A51" s="133"/>
    </row>
    <row r="52" spans="1:15" s="59" customFormat="1" x14ac:dyDescent="0.2">
      <c r="A52" s="133"/>
    </row>
  </sheetData>
  <mergeCells count="8">
    <mergeCell ref="A1:AM1"/>
    <mergeCell ref="A3:A4"/>
    <mergeCell ref="B3:B4"/>
    <mergeCell ref="C3:F3"/>
    <mergeCell ref="G3:J3"/>
    <mergeCell ref="K3:M3"/>
    <mergeCell ref="N3:N4"/>
    <mergeCell ref="O3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I76" sqref="I76"/>
    </sheetView>
  </sheetViews>
  <sheetFormatPr defaultRowHeight="15" x14ac:dyDescent="0.25"/>
  <cols>
    <col min="1" max="1" width="4.140625" style="1" customWidth="1"/>
    <col min="2" max="2" width="36.140625" style="1" customWidth="1"/>
    <col min="3" max="3" width="10.42578125" style="95" customWidth="1"/>
    <col min="4" max="4" width="11.42578125" style="95" customWidth="1"/>
    <col min="5" max="5" width="11.5703125" style="95" customWidth="1"/>
    <col min="6" max="6" width="10" style="95" customWidth="1"/>
    <col min="7" max="7" width="10.85546875" style="95" customWidth="1"/>
    <col min="8" max="8" width="10.140625" style="95" customWidth="1"/>
    <col min="9" max="10" width="10.85546875" style="95" customWidth="1"/>
    <col min="11" max="16384" width="9.140625" style="1"/>
  </cols>
  <sheetData>
    <row r="1" spans="1:11" ht="18.75" customHeight="1" x14ac:dyDescent="0.25">
      <c r="A1" s="205" t="s">
        <v>299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ht="6.7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</row>
    <row r="3" spans="1:11" ht="18.75" x14ac:dyDescent="0.25">
      <c r="A3" s="94"/>
      <c r="J3" s="96" t="s">
        <v>300</v>
      </c>
    </row>
    <row r="4" spans="1:11" s="98" customFormat="1" ht="15.75" customHeight="1" x14ac:dyDescent="0.2">
      <c r="A4" s="206" t="s">
        <v>10</v>
      </c>
      <c r="B4" s="206" t="s">
        <v>97</v>
      </c>
      <c r="C4" s="207" t="s">
        <v>131</v>
      </c>
      <c r="D4" s="207" t="s">
        <v>301</v>
      </c>
      <c r="E4" s="207" t="s">
        <v>302</v>
      </c>
      <c r="F4" s="207" t="s">
        <v>12</v>
      </c>
      <c r="G4" s="207"/>
      <c r="H4" s="207"/>
      <c r="I4" s="207"/>
      <c r="J4" s="207"/>
      <c r="K4" s="97"/>
    </row>
    <row r="5" spans="1:11" s="98" customFormat="1" ht="84" customHeight="1" x14ac:dyDescent="0.2">
      <c r="A5" s="206"/>
      <c r="B5" s="206"/>
      <c r="C5" s="207"/>
      <c r="D5" s="207"/>
      <c r="E5" s="207"/>
      <c r="F5" s="6" t="s">
        <v>303</v>
      </c>
      <c r="G5" s="6" t="s">
        <v>304</v>
      </c>
      <c r="H5" s="6" t="s">
        <v>305</v>
      </c>
      <c r="I5" s="6" t="s">
        <v>304</v>
      </c>
      <c r="J5" s="6" t="s">
        <v>306</v>
      </c>
      <c r="K5" s="97"/>
    </row>
    <row r="6" spans="1:11" ht="11.25" customHeight="1" x14ac:dyDescent="0.25">
      <c r="A6" s="99">
        <v>1</v>
      </c>
      <c r="B6" s="99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1"/>
    </row>
    <row r="7" spans="1:11" x14ac:dyDescent="0.25">
      <c r="A7" s="102">
        <v>1</v>
      </c>
      <c r="B7" s="103" t="s">
        <v>14</v>
      </c>
      <c r="C7" s="104">
        <f>D7+E7</f>
        <v>27024</v>
      </c>
      <c r="D7" s="104"/>
      <c r="E7" s="104">
        <f>F7+H7+J7</f>
        <v>27024</v>
      </c>
      <c r="F7" s="104">
        <f>26489+45-1</f>
        <v>26533</v>
      </c>
      <c r="G7" s="104">
        <f>14+4-1</f>
        <v>17</v>
      </c>
      <c r="H7" s="104">
        <f>492-1</f>
        <v>491</v>
      </c>
      <c r="I7" s="104">
        <f>12-11-1</f>
        <v>0</v>
      </c>
      <c r="J7" s="104"/>
      <c r="K7" s="101"/>
    </row>
    <row r="8" spans="1:11" x14ac:dyDescent="0.25">
      <c r="A8" s="102">
        <v>2</v>
      </c>
      <c r="B8" s="103" t="s">
        <v>15</v>
      </c>
      <c r="C8" s="104">
        <f t="shared" ref="C8:C65" si="0">D8+E8</f>
        <v>11933</v>
      </c>
      <c r="D8" s="104"/>
      <c r="E8" s="104">
        <f t="shared" ref="E8:E65" si="1">F8+H8+J8</f>
        <v>11933</v>
      </c>
      <c r="F8" s="104">
        <f>11914+20-1</f>
        <v>11933</v>
      </c>
      <c r="G8" s="104">
        <f>2-1-1</f>
        <v>0</v>
      </c>
      <c r="H8" s="104"/>
      <c r="I8" s="104"/>
      <c r="J8" s="104"/>
      <c r="K8" s="101"/>
    </row>
    <row r="9" spans="1:11" x14ac:dyDescent="0.25">
      <c r="A9" s="102">
        <v>3</v>
      </c>
      <c r="B9" s="103" t="s">
        <v>16</v>
      </c>
      <c r="C9" s="104">
        <f t="shared" si="0"/>
        <v>7419</v>
      </c>
      <c r="D9" s="104"/>
      <c r="E9" s="104">
        <f t="shared" si="1"/>
        <v>7419</v>
      </c>
      <c r="F9" s="104">
        <f>7407+12</f>
        <v>7419</v>
      </c>
      <c r="G9" s="104">
        <f>10+4</f>
        <v>14</v>
      </c>
      <c r="H9" s="104"/>
      <c r="I9" s="104"/>
      <c r="J9" s="104"/>
      <c r="K9" s="101"/>
    </row>
    <row r="10" spans="1:11" x14ac:dyDescent="0.25">
      <c r="A10" s="102">
        <v>4</v>
      </c>
      <c r="B10" s="103" t="s">
        <v>17</v>
      </c>
      <c r="C10" s="104">
        <f t="shared" si="0"/>
        <v>4579</v>
      </c>
      <c r="D10" s="104"/>
      <c r="E10" s="104">
        <f t="shared" si="1"/>
        <v>4579</v>
      </c>
      <c r="F10" s="104">
        <f>4571+8</f>
        <v>4579</v>
      </c>
      <c r="G10" s="104">
        <f>10-7</f>
        <v>3</v>
      </c>
      <c r="H10" s="104"/>
      <c r="I10" s="104"/>
      <c r="J10" s="104"/>
      <c r="K10" s="101"/>
    </row>
    <row r="11" spans="1:11" x14ac:dyDescent="0.25">
      <c r="A11" s="102">
        <v>5</v>
      </c>
      <c r="B11" s="103" t="s">
        <v>18</v>
      </c>
      <c r="C11" s="104">
        <f t="shared" si="0"/>
        <v>8654</v>
      </c>
      <c r="D11" s="104"/>
      <c r="E11" s="104">
        <f t="shared" si="1"/>
        <v>8654</v>
      </c>
      <c r="F11" s="104">
        <f>8641+14-1</f>
        <v>8654</v>
      </c>
      <c r="G11" s="104">
        <f>4-3-1</f>
        <v>0</v>
      </c>
      <c r="H11" s="104"/>
      <c r="I11" s="104"/>
      <c r="J11" s="104"/>
      <c r="K11" s="101"/>
    </row>
    <row r="12" spans="1:11" x14ac:dyDescent="0.25">
      <c r="A12" s="102">
        <v>6</v>
      </c>
      <c r="B12" s="103" t="s">
        <v>19</v>
      </c>
      <c r="C12" s="104">
        <f t="shared" si="0"/>
        <v>13265</v>
      </c>
      <c r="D12" s="104"/>
      <c r="E12" s="104">
        <f t="shared" si="1"/>
        <v>13265</v>
      </c>
      <c r="F12" s="104">
        <f>13244+22-1</f>
        <v>13265</v>
      </c>
      <c r="G12" s="104">
        <f>30-21-1</f>
        <v>8</v>
      </c>
      <c r="H12" s="104"/>
      <c r="I12" s="104"/>
      <c r="J12" s="104"/>
      <c r="K12" s="101"/>
    </row>
    <row r="13" spans="1:11" x14ac:dyDescent="0.25">
      <c r="A13" s="102">
        <v>7</v>
      </c>
      <c r="B13" s="103" t="s">
        <v>20</v>
      </c>
      <c r="C13" s="104">
        <f t="shared" si="0"/>
        <v>30695</v>
      </c>
      <c r="D13" s="104"/>
      <c r="E13" s="104">
        <f t="shared" si="1"/>
        <v>30695</v>
      </c>
      <c r="F13" s="104">
        <f>30643+51+1</f>
        <v>30695</v>
      </c>
      <c r="G13" s="104">
        <f>8+1</f>
        <v>9</v>
      </c>
      <c r="H13" s="104"/>
      <c r="I13" s="104"/>
      <c r="J13" s="104"/>
      <c r="K13" s="101"/>
    </row>
    <row r="14" spans="1:11" x14ac:dyDescent="0.25">
      <c r="A14" s="102">
        <v>8</v>
      </c>
      <c r="B14" s="103" t="s">
        <v>21</v>
      </c>
      <c r="C14" s="104">
        <f t="shared" si="0"/>
        <v>21752</v>
      </c>
      <c r="D14" s="104"/>
      <c r="E14" s="104">
        <f t="shared" si="1"/>
        <v>21752</v>
      </c>
      <c r="F14" s="104">
        <f>21716+36</f>
        <v>21752</v>
      </c>
      <c r="G14" s="104">
        <f>4-3</f>
        <v>1</v>
      </c>
      <c r="H14" s="104"/>
      <c r="I14" s="104"/>
      <c r="J14" s="104"/>
      <c r="K14" s="101"/>
    </row>
    <row r="15" spans="1:11" x14ac:dyDescent="0.25">
      <c r="A15" s="102">
        <v>9</v>
      </c>
      <c r="B15" s="103" t="s">
        <v>22</v>
      </c>
      <c r="C15" s="104">
        <f t="shared" si="0"/>
        <v>12618</v>
      </c>
      <c r="D15" s="104"/>
      <c r="E15" s="104">
        <f t="shared" si="1"/>
        <v>12618</v>
      </c>
      <c r="F15" s="104">
        <f>12598+21-1</f>
        <v>12618</v>
      </c>
      <c r="G15" s="104">
        <f>3-1-1</f>
        <v>1</v>
      </c>
      <c r="H15" s="104"/>
      <c r="I15" s="104"/>
      <c r="J15" s="104"/>
      <c r="K15" s="101"/>
    </row>
    <row r="16" spans="1:11" x14ac:dyDescent="0.25">
      <c r="A16" s="102">
        <v>10</v>
      </c>
      <c r="B16" s="103" t="s">
        <v>23</v>
      </c>
      <c r="C16" s="104">
        <f t="shared" si="0"/>
        <v>5440</v>
      </c>
      <c r="D16" s="104"/>
      <c r="E16" s="104">
        <f t="shared" si="1"/>
        <v>5440</v>
      </c>
      <c r="F16" s="104">
        <f>5432+9-1</f>
        <v>5440</v>
      </c>
      <c r="G16" s="104">
        <f>4-3-1</f>
        <v>0</v>
      </c>
      <c r="H16" s="104"/>
      <c r="I16" s="104"/>
      <c r="J16" s="104"/>
      <c r="K16" s="101"/>
    </row>
    <row r="17" spans="1:11" x14ac:dyDescent="0.25">
      <c r="A17" s="102">
        <v>11</v>
      </c>
      <c r="B17" s="103" t="s">
        <v>24</v>
      </c>
      <c r="C17" s="104">
        <f t="shared" si="0"/>
        <v>4548</v>
      </c>
      <c r="D17" s="104"/>
      <c r="E17" s="104">
        <f t="shared" si="1"/>
        <v>4548</v>
      </c>
      <c r="F17" s="104">
        <f>2134+7-1</f>
        <v>2140</v>
      </c>
      <c r="G17" s="104">
        <f>12-11-1</f>
        <v>0</v>
      </c>
      <c r="H17" s="104">
        <v>2408</v>
      </c>
      <c r="I17" s="104">
        <f>6-4</f>
        <v>2</v>
      </c>
      <c r="J17" s="104"/>
      <c r="K17" s="101"/>
    </row>
    <row r="18" spans="1:11" x14ac:dyDescent="0.25">
      <c r="A18" s="102">
        <v>12</v>
      </c>
      <c r="B18" s="103" t="s">
        <v>25</v>
      </c>
      <c r="C18" s="104">
        <f t="shared" si="0"/>
        <v>17162</v>
      </c>
      <c r="D18" s="104"/>
      <c r="E18" s="104">
        <f t="shared" si="1"/>
        <v>17162</v>
      </c>
      <c r="F18" s="104">
        <f>17132+29+1</f>
        <v>17162</v>
      </c>
      <c r="G18" s="104">
        <f>12-10+1</f>
        <v>3</v>
      </c>
      <c r="H18" s="104"/>
      <c r="I18" s="104"/>
      <c r="J18" s="104"/>
      <c r="K18" s="101"/>
    </row>
    <row r="19" spans="1:11" x14ac:dyDescent="0.25">
      <c r="A19" s="102">
        <v>13</v>
      </c>
      <c r="B19" s="103" t="s">
        <v>26</v>
      </c>
      <c r="C19" s="104">
        <f t="shared" si="0"/>
        <v>18144</v>
      </c>
      <c r="D19" s="104"/>
      <c r="E19" s="104">
        <f t="shared" si="1"/>
        <v>18144</v>
      </c>
      <c r="F19" s="104">
        <f>18113+30+1</f>
        <v>18144</v>
      </c>
      <c r="G19" s="104">
        <f>48-40+1</f>
        <v>9</v>
      </c>
      <c r="H19" s="104"/>
      <c r="I19" s="104"/>
      <c r="J19" s="104"/>
      <c r="K19" s="101"/>
    </row>
    <row r="20" spans="1:11" x14ac:dyDescent="0.25">
      <c r="A20" s="102">
        <v>14</v>
      </c>
      <c r="B20" s="103" t="s">
        <v>27</v>
      </c>
      <c r="C20" s="104">
        <f t="shared" si="0"/>
        <v>54075</v>
      </c>
      <c r="D20" s="104"/>
      <c r="E20" s="104">
        <f t="shared" si="1"/>
        <v>54075</v>
      </c>
      <c r="F20" s="104">
        <f>53980+90-300+5</f>
        <v>53775</v>
      </c>
      <c r="G20" s="104">
        <f>30+5</f>
        <v>35</v>
      </c>
      <c r="H20" s="104">
        <v>300</v>
      </c>
      <c r="I20" s="104"/>
      <c r="J20" s="104"/>
      <c r="K20" s="101"/>
    </row>
    <row r="21" spans="1:11" x14ac:dyDescent="0.25">
      <c r="A21" s="102">
        <v>15</v>
      </c>
      <c r="B21" s="103" t="s">
        <v>29</v>
      </c>
      <c r="C21" s="104">
        <f t="shared" si="0"/>
        <v>13728</v>
      </c>
      <c r="D21" s="104"/>
      <c r="E21" s="104">
        <f t="shared" si="1"/>
        <v>13728</v>
      </c>
      <c r="F21" s="104">
        <f>13702+23+3</f>
        <v>13728</v>
      </c>
      <c r="G21" s="104">
        <f>15-4+3</f>
        <v>14</v>
      </c>
      <c r="H21" s="104"/>
      <c r="I21" s="104"/>
      <c r="J21" s="104"/>
      <c r="K21" s="101"/>
    </row>
    <row r="22" spans="1:11" x14ac:dyDescent="0.25">
      <c r="A22" s="102">
        <v>16</v>
      </c>
      <c r="B22" s="103" t="s">
        <v>30</v>
      </c>
      <c r="C22" s="104">
        <f t="shared" si="0"/>
        <v>6413</v>
      </c>
      <c r="D22" s="104"/>
      <c r="E22" s="104">
        <f t="shared" si="1"/>
        <v>6413</v>
      </c>
      <c r="F22" s="104">
        <f>6403+11-1</f>
        <v>6413</v>
      </c>
      <c r="G22" s="104">
        <f>10-9-1</f>
        <v>0</v>
      </c>
      <c r="H22" s="104"/>
      <c r="I22" s="104"/>
      <c r="J22" s="104"/>
      <c r="K22" s="101"/>
    </row>
    <row r="23" spans="1:11" x14ac:dyDescent="0.25">
      <c r="A23" s="102">
        <v>17</v>
      </c>
      <c r="B23" s="103" t="s">
        <v>31</v>
      </c>
      <c r="C23" s="104">
        <f t="shared" si="0"/>
        <v>6204</v>
      </c>
      <c r="D23" s="104"/>
      <c r="E23" s="104">
        <f t="shared" si="1"/>
        <v>6204</v>
      </c>
      <c r="F23" s="104">
        <f>6193+10+1</f>
        <v>6204</v>
      </c>
      <c r="G23" s="104">
        <f>3-3+1</f>
        <v>1</v>
      </c>
      <c r="H23" s="104"/>
      <c r="I23" s="104"/>
      <c r="J23" s="104"/>
      <c r="K23" s="101"/>
    </row>
    <row r="24" spans="1:11" x14ac:dyDescent="0.25">
      <c r="A24" s="102">
        <v>18</v>
      </c>
      <c r="B24" s="103" t="s">
        <v>32</v>
      </c>
      <c r="C24" s="104">
        <f t="shared" si="0"/>
        <v>7106</v>
      </c>
      <c r="D24" s="104"/>
      <c r="E24" s="104">
        <f t="shared" si="1"/>
        <v>7106</v>
      </c>
      <c r="F24" s="104">
        <f>7095+12-1</f>
        <v>7106</v>
      </c>
      <c r="G24" s="104">
        <f>14-13-1</f>
        <v>0</v>
      </c>
      <c r="H24" s="104"/>
      <c r="I24" s="104"/>
      <c r="J24" s="104"/>
      <c r="K24" s="101"/>
    </row>
    <row r="25" spans="1:11" x14ac:dyDescent="0.25">
      <c r="A25" s="102">
        <v>19</v>
      </c>
      <c r="B25" s="103" t="s">
        <v>33</v>
      </c>
      <c r="C25" s="104">
        <f t="shared" si="0"/>
        <v>7252</v>
      </c>
      <c r="D25" s="104"/>
      <c r="E25" s="104">
        <f t="shared" si="1"/>
        <v>7252</v>
      </c>
      <c r="F25" s="104">
        <f>7240+12</f>
        <v>7252</v>
      </c>
      <c r="G25" s="104">
        <f>10-8</f>
        <v>2</v>
      </c>
      <c r="H25" s="104"/>
      <c r="I25" s="104"/>
      <c r="J25" s="104"/>
      <c r="K25" s="101"/>
    </row>
    <row r="26" spans="1:11" x14ac:dyDescent="0.25">
      <c r="A26" s="102">
        <v>20</v>
      </c>
      <c r="B26" s="103" t="s">
        <v>34</v>
      </c>
      <c r="C26" s="104">
        <f t="shared" si="0"/>
        <v>8065</v>
      </c>
      <c r="D26" s="104"/>
      <c r="E26" s="104">
        <f t="shared" si="1"/>
        <v>8065</v>
      </c>
      <c r="F26" s="104">
        <f>8053+13-1</f>
        <v>8065</v>
      </c>
      <c r="G26" s="104">
        <f>2+4-1</f>
        <v>5</v>
      </c>
      <c r="H26" s="104"/>
      <c r="I26" s="104"/>
      <c r="J26" s="104"/>
      <c r="K26" s="101"/>
    </row>
    <row r="27" spans="1:11" x14ac:dyDescent="0.25">
      <c r="A27" s="102">
        <v>21</v>
      </c>
      <c r="B27" s="103" t="s">
        <v>35</v>
      </c>
      <c r="C27" s="104">
        <f t="shared" si="0"/>
        <v>7568</v>
      </c>
      <c r="D27" s="104"/>
      <c r="E27" s="104">
        <f t="shared" si="1"/>
        <v>7568</v>
      </c>
      <c r="F27" s="104">
        <f>7556+13-1</f>
        <v>7568</v>
      </c>
      <c r="G27" s="104">
        <f>3-2-1</f>
        <v>0</v>
      </c>
      <c r="H27" s="104"/>
      <c r="I27" s="104"/>
      <c r="J27" s="104"/>
      <c r="K27" s="101"/>
    </row>
    <row r="28" spans="1:11" x14ac:dyDescent="0.25">
      <c r="A28" s="102">
        <v>22</v>
      </c>
      <c r="B28" s="103" t="s">
        <v>37</v>
      </c>
      <c r="C28" s="104">
        <f t="shared" si="0"/>
        <v>7516</v>
      </c>
      <c r="D28" s="104"/>
      <c r="E28" s="104">
        <f t="shared" si="1"/>
        <v>7516</v>
      </c>
      <c r="F28" s="104">
        <f>7505+12-1</f>
        <v>7516</v>
      </c>
      <c r="G28" s="104">
        <f>3-2-1</f>
        <v>0</v>
      </c>
      <c r="H28" s="104"/>
      <c r="I28" s="104"/>
      <c r="J28" s="104"/>
      <c r="K28" s="101"/>
    </row>
    <row r="29" spans="1:11" x14ac:dyDescent="0.25">
      <c r="A29" s="102">
        <v>23</v>
      </c>
      <c r="B29" s="103" t="s">
        <v>1</v>
      </c>
      <c r="C29" s="104">
        <f t="shared" si="0"/>
        <v>8674</v>
      </c>
      <c r="D29" s="104"/>
      <c r="E29" s="104">
        <f t="shared" si="1"/>
        <v>8674</v>
      </c>
      <c r="F29" s="104">
        <f>8660+14</f>
        <v>8674</v>
      </c>
      <c r="G29" s="104">
        <f>5-3</f>
        <v>2</v>
      </c>
      <c r="H29" s="104"/>
      <c r="I29" s="104"/>
      <c r="J29" s="104"/>
      <c r="K29" s="101"/>
    </row>
    <row r="30" spans="1:11" x14ac:dyDescent="0.25">
      <c r="A30" s="102">
        <v>24</v>
      </c>
      <c r="B30" s="103" t="s">
        <v>38</v>
      </c>
      <c r="C30" s="104">
        <f t="shared" si="0"/>
        <v>5743</v>
      </c>
      <c r="D30" s="104"/>
      <c r="E30" s="104">
        <f t="shared" si="1"/>
        <v>5743</v>
      </c>
      <c r="F30" s="104">
        <f>5734+10-1</f>
        <v>5743</v>
      </c>
      <c r="G30" s="104">
        <f>3-2-1</f>
        <v>0</v>
      </c>
      <c r="H30" s="104"/>
      <c r="I30" s="104"/>
      <c r="J30" s="104"/>
      <c r="K30" s="101"/>
    </row>
    <row r="31" spans="1:11" x14ac:dyDescent="0.25">
      <c r="A31" s="102">
        <v>25</v>
      </c>
      <c r="B31" s="103" t="s">
        <v>39</v>
      </c>
      <c r="C31" s="104">
        <f t="shared" si="0"/>
        <v>6885</v>
      </c>
      <c r="D31" s="104"/>
      <c r="E31" s="104">
        <f t="shared" si="1"/>
        <v>6885</v>
      </c>
      <c r="F31" s="104">
        <f>6875+11-1</f>
        <v>6885</v>
      </c>
      <c r="G31" s="104">
        <f>4-3-1</f>
        <v>0</v>
      </c>
      <c r="H31" s="104"/>
      <c r="I31" s="104"/>
      <c r="J31" s="104"/>
      <c r="K31" s="101"/>
    </row>
    <row r="32" spans="1:11" x14ac:dyDescent="0.25">
      <c r="A32" s="102">
        <v>26</v>
      </c>
      <c r="B32" s="103" t="s">
        <v>40</v>
      </c>
      <c r="C32" s="104">
        <f t="shared" si="0"/>
        <v>5409</v>
      </c>
      <c r="D32" s="104"/>
      <c r="E32" s="104">
        <f t="shared" si="1"/>
        <v>5409</v>
      </c>
      <c r="F32" s="104">
        <f>5401+9-1</f>
        <v>5409</v>
      </c>
      <c r="G32" s="104">
        <f>5-4-1</f>
        <v>0</v>
      </c>
      <c r="H32" s="104"/>
      <c r="I32" s="104"/>
      <c r="J32" s="104"/>
      <c r="K32" s="101"/>
    </row>
    <row r="33" spans="1:11" x14ac:dyDescent="0.25">
      <c r="A33" s="102">
        <v>27</v>
      </c>
      <c r="B33" s="103" t="s">
        <v>41</v>
      </c>
      <c r="C33" s="104">
        <f t="shared" si="0"/>
        <v>7991</v>
      </c>
      <c r="D33" s="104"/>
      <c r="E33" s="104">
        <f t="shared" si="1"/>
        <v>7991</v>
      </c>
      <c r="F33" s="104">
        <f>7979+13-1</f>
        <v>7991</v>
      </c>
      <c r="G33" s="104">
        <f>2-1-1</f>
        <v>0</v>
      </c>
      <c r="H33" s="104"/>
      <c r="I33" s="104"/>
      <c r="J33" s="104"/>
      <c r="K33" s="101"/>
    </row>
    <row r="34" spans="1:11" x14ac:dyDescent="0.25">
      <c r="A34" s="102">
        <v>28</v>
      </c>
      <c r="B34" s="103" t="s">
        <v>42</v>
      </c>
      <c r="C34" s="104">
        <f t="shared" si="0"/>
        <v>17674</v>
      </c>
      <c r="D34" s="104"/>
      <c r="E34" s="104">
        <f t="shared" si="1"/>
        <v>17674</v>
      </c>
      <c r="F34" s="104">
        <f>17645+30-1</f>
        <v>17674</v>
      </c>
      <c r="G34" s="104">
        <f>2-1-1</f>
        <v>0</v>
      </c>
      <c r="H34" s="104"/>
      <c r="I34" s="104"/>
      <c r="J34" s="104"/>
      <c r="K34" s="101"/>
    </row>
    <row r="35" spans="1:11" x14ac:dyDescent="0.25">
      <c r="A35" s="102">
        <v>29</v>
      </c>
      <c r="B35" s="103" t="s">
        <v>43</v>
      </c>
      <c r="C35" s="104">
        <f t="shared" si="0"/>
        <v>17650</v>
      </c>
      <c r="D35" s="104"/>
      <c r="E35" s="104">
        <f t="shared" si="1"/>
        <v>17650</v>
      </c>
      <c r="F35" s="104">
        <f>17621+29</f>
        <v>17650</v>
      </c>
      <c r="G35" s="104">
        <f>15-3</f>
        <v>12</v>
      </c>
      <c r="H35" s="104"/>
      <c r="I35" s="104"/>
      <c r="J35" s="104"/>
      <c r="K35" s="101"/>
    </row>
    <row r="36" spans="1:11" x14ac:dyDescent="0.25">
      <c r="A36" s="102">
        <v>30</v>
      </c>
      <c r="B36" s="103" t="s">
        <v>44</v>
      </c>
      <c r="C36" s="104">
        <f t="shared" si="0"/>
        <v>9505</v>
      </c>
      <c r="D36" s="104"/>
      <c r="E36" s="104">
        <f t="shared" si="1"/>
        <v>9505</v>
      </c>
      <c r="F36" s="104">
        <f>9490+16-1</f>
        <v>9505</v>
      </c>
      <c r="G36" s="104">
        <f>8-7-1</f>
        <v>0</v>
      </c>
      <c r="H36" s="104"/>
      <c r="I36" s="104"/>
      <c r="J36" s="104"/>
      <c r="K36" s="101"/>
    </row>
    <row r="37" spans="1:11" x14ac:dyDescent="0.25">
      <c r="A37" s="102">
        <v>31</v>
      </c>
      <c r="B37" s="103" t="s">
        <v>45</v>
      </c>
      <c r="C37" s="104">
        <f t="shared" si="0"/>
        <v>4665</v>
      </c>
      <c r="D37" s="104"/>
      <c r="E37" s="104">
        <f t="shared" si="1"/>
        <v>4665</v>
      </c>
      <c r="F37" s="104">
        <f>4657+8</f>
        <v>4665</v>
      </c>
      <c r="G37" s="104">
        <f>10-9</f>
        <v>1</v>
      </c>
      <c r="H37" s="104"/>
      <c r="I37" s="104"/>
      <c r="J37" s="104"/>
      <c r="K37" s="101"/>
    </row>
    <row r="38" spans="1:11" ht="30" x14ac:dyDescent="0.25">
      <c r="A38" s="102">
        <v>32</v>
      </c>
      <c r="B38" s="105" t="s">
        <v>307</v>
      </c>
      <c r="C38" s="104">
        <f t="shared" si="0"/>
        <v>89095</v>
      </c>
      <c r="D38" s="104">
        <f>700-190</f>
        <v>510</v>
      </c>
      <c r="E38" s="104">
        <f t="shared" si="1"/>
        <v>88585</v>
      </c>
      <c r="F38" s="104">
        <f>88437+147+1</f>
        <v>88585</v>
      </c>
      <c r="G38" s="104">
        <f>50-14+1</f>
        <v>37</v>
      </c>
      <c r="H38" s="104"/>
      <c r="I38" s="104"/>
      <c r="J38" s="104"/>
      <c r="K38" s="101"/>
    </row>
    <row r="39" spans="1:11" x14ac:dyDescent="0.25">
      <c r="A39" s="102">
        <v>33</v>
      </c>
      <c r="B39" s="103" t="s">
        <v>50</v>
      </c>
      <c r="C39" s="104">
        <f t="shared" si="0"/>
        <v>26109</v>
      </c>
      <c r="D39" s="104"/>
      <c r="E39" s="104">
        <f t="shared" si="1"/>
        <v>26109</v>
      </c>
      <c r="F39" s="104">
        <f>23362+43</f>
        <v>23405</v>
      </c>
      <c r="G39" s="104">
        <v>3</v>
      </c>
      <c r="H39" s="104">
        <v>2704</v>
      </c>
      <c r="I39" s="104">
        <f>4+3</f>
        <v>7</v>
      </c>
      <c r="J39" s="104"/>
      <c r="K39" s="101"/>
    </row>
    <row r="40" spans="1:11" x14ac:dyDescent="0.25">
      <c r="A40" s="102">
        <v>34</v>
      </c>
      <c r="B40" s="103" t="s">
        <v>51</v>
      </c>
      <c r="C40" s="104">
        <f t="shared" si="0"/>
        <v>19254</v>
      </c>
      <c r="D40" s="104"/>
      <c r="E40" s="104">
        <f t="shared" si="1"/>
        <v>19254</v>
      </c>
      <c r="F40" s="104">
        <f>19222+32</f>
        <v>19254</v>
      </c>
      <c r="G40" s="104">
        <f>32-22</f>
        <v>10</v>
      </c>
      <c r="H40" s="104"/>
      <c r="I40" s="104"/>
      <c r="J40" s="104"/>
      <c r="K40" s="101"/>
    </row>
    <row r="41" spans="1:11" s="111" customFormat="1" ht="39" customHeight="1" x14ac:dyDescent="0.2">
      <c r="A41" s="106">
        <v>35</v>
      </c>
      <c r="B41" s="107" t="s">
        <v>103</v>
      </c>
      <c r="C41" s="108">
        <f t="shared" si="0"/>
        <v>7080</v>
      </c>
      <c r="D41" s="109"/>
      <c r="E41" s="108">
        <f t="shared" si="1"/>
        <v>7080</v>
      </c>
      <c r="F41" s="109">
        <f>7068+12</f>
        <v>7080</v>
      </c>
      <c r="G41" s="109">
        <f>12-10</f>
        <v>2</v>
      </c>
      <c r="H41" s="109"/>
      <c r="I41" s="109"/>
      <c r="J41" s="109"/>
      <c r="K41" s="110"/>
    </row>
    <row r="42" spans="1:11" x14ac:dyDescent="0.25">
      <c r="A42" s="102">
        <v>36</v>
      </c>
      <c r="B42" s="103" t="s">
        <v>53</v>
      </c>
      <c r="C42" s="104">
        <f t="shared" si="0"/>
        <v>24907</v>
      </c>
      <c r="D42" s="104"/>
      <c r="E42" s="104">
        <f t="shared" si="1"/>
        <v>24907</v>
      </c>
      <c r="F42" s="104">
        <f>24866+41</f>
        <v>24907</v>
      </c>
      <c r="G42" s="104">
        <f>40-38</f>
        <v>2</v>
      </c>
      <c r="H42" s="104"/>
      <c r="I42" s="104"/>
      <c r="J42" s="104"/>
      <c r="K42" s="101"/>
    </row>
    <row r="43" spans="1:11" x14ac:dyDescent="0.25">
      <c r="A43" s="102">
        <v>37</v>
      </c>
      <c r="B43" s="103" t="s">
        <v>54</v>
      </c>
      <c r="C43" s="104">
        <f t="shared" si="0"/>
        <v>41428</v>
      </c>
      <c r="D43" s="104"/>
      <c r="E43" s="104">
        <f t="shared" si="1"/>
        <v>41428</v>
      </c>
      <c r="F43" s="104">
        <f>34355+70</f>
        <v>34425</v>
      </c>
      <c r="G43" s="104"/>
      <c r="H43" s="104">
        <f>7004-1</f>
        <v>7003</v>
      </c>
      <c r="I43" s="104">
        <f>4-1-1</f>
        <v>2</v>
      </c>
      <c r="J43" s="104"/>
      <c r="K43" s="101"/>
    </row>
    <row r="44" spans="1:11" x14ac:dyDescent="0.25">
      <c r="A44" s="102">
        <v>38</v>
      </c>
      <c r="B44" s="103" t="s">
        <v>58</v>
      </c>
      <c r="C44" s="104">
        <f t="shared" si="0"/>
        <v>8526</v>
      </c>
      <c r="D44" s="104"/>
      <c r="E44" s="104">
        <f t="shared" si="1"/>
        <v>8526</v>
      </c>
      <c r="F44" s="104">
        <f>8513+14-1</f>
        <v>8526</v>
      </c>
      <c r="G44" s="104">
        <f>9-8-1</f>
        <v>0</v>
      </c>
      <c r="H44" s="104"/>
      <c r="I44" s="104"/>
      <c r="J44" s="104"/>
      <c r="K44" s="101"/>
    </row>
    <row r="45" spans="1:11" x14ac:dyDescent="0.25">
      <c r="A45" s="102">
        <v>39</v>
      </c>
      <c r="B45" s="103" t="s">
        <v>59</v>
      </c>
      <c r="C45" s="104">
        <f t="shared" si="0"/>
        <v>10422</v>
      </c>
      <c r="D45" s="104"/>
      <c r="E45" s="104">
        <f t="shared" si="1"/>
        <v>10422</v>
      </c>
      <c r="F45" s="104">
        <f>10406+17-1</f>
        <v>10422</v>
      </c>
      <c r="G45" s="104">
        <f>5-3-1</f>
        <v>1</v>
      </c>
      <c r="H45" s="104"/>
      <c r="I45" s="104"/>
      <c r="J45" s="104"/>
      <c r="K45" s="101"/>
    </row>
    <row r="46" spans="1:11" x14ac:dyDescent="0.25">
      <c r="A46" s="102">
        <v>40</v>
      </c>
      <c r="B46" s="103" t="s">
        <v>60</v>
      </c>
      <c r="C46" s="104">
        <f t="shared" si="0"/>
        <v>9518</v>
      </c>
      <c r="D46" s="104"/>
      <c r="E46" s="104">
        <f t="shared" si="1"/>
        <v>9518</v>
      </c>
      <c r="F46" s="104">
        <f>9503+16-1</f>
        <v>9518</v>
      </c>
      <c r="G46" s="104">
        <f>2-1-1</f>
        <v>0</v>
      </c>
      <c r="H46" s="104"/>
      <c r="I46" s="104"/>
      <c r="J46" s="104"/>
      <c r="K46" s="101"/>
    </row>
    <row r="47" spans="1:11" x14ac:dyDescent="0.25">
      <c r="A47" s="102">
        <v>41</v>
      </c>
      <c r="B47" s="103" t="s">
        <v>61</v>
      </c>
      <c r="C47" s="104">
        <f t="shared" si="0"/>
        <v>6103</v>
      </c>
      <c r="D47" s="104"/>
      <c r="E47" s="104">
        <f t="shared" si="1"/>
        <v>6103</v>
      </c>
      <c r="F47" s="104">
        <f>6095+10-2</f>
        <v>6103</v>
      </c>
      <c r="G47" s="104">
        <f>6-2</f>
        <v>4</v>
      </c>
      <c r="H47" s="104"/>
      <c r="I47" s="104"/>
      <c r="J47" s="104"/>
      <c r="K47" s="101"/>
    </row>
    <row r="48" spans="1:11" x14ac:dyDescent="0.25">
      <c r="A48" s="102">
        <v>42</v>
      </c>
      <c r="B48" s="103" t="s">
        <v>62</v>
      </c>
      <c r="C48" s="104">
        <f t="shared" si="0"/>
        <v>10600</v>
      </c>
      <c r="D48" s="104"/>
      <c r="E48" s="104">
        <f t="shared" si="1"/>
        <v>10600</v>
      </c>
      <c r="F48" s="104">
        <f>10583+18-1</f>
        <v>10600</v>
      </c>
      <c r="G48" s="104">
        <f>10-9-1</f>
        <v>0</v>
      </c>
      <c r="H48" s="104"/>
      <c r="I48" s="104"/>
      <c r="J48" s="104"/>
      <c r="K48" s="101"/>
    </row>
    <row r="49" spans="1:11" x14ac:dyDescent="0.25">
      <c r="A49" s="102">
        <v>43</v>
      </c>
      <c r="B49" s="103" t="s">
        <v>63</v>
      </c>
      <c r="C49" s="104">
        <f t="shared" si="0"/>
        <v>5071</v>
      </c>
      <c r="D49" s="104"/>
      <c r="E49" s="104">
        <f t="shared" si="1"/>
        <v>5071</v>
      </c>
      <c r="F49" s="104">
        <f>5063+8</f>
        <v>5071</v>
      </c>
      <c r="G49" s="104">
        <f>7-5</f>
        <v>2</v>
      </c>
      <c r="H49" s="104"/>
      <c r="I49" s="104"/>
      <c r="J49" s="104"/>
      <c r="K49" s="101"/>
    </row>
    <row r="50" spans="1:11" x14ac:dyDescent="0.25">
      <c r="A50" s="102">
        <v>44</v>
      </c>
      <c r="B50" s="103" t="s">
        <v>64</v>
      </c>
      <c r="C50" s="104">
        <f t="shared" si="0"/>
        <v>37843</v>
      </c>
      <c r="D50" s="104"/>
      <c r="E50" s="104">
        <f t="shared" si="1"/>
        <v>37843</v>
      </c>
      <c r="F50" s="104">
        <f>34546+63+3</f>
        <v>34612</v>
      </c>
      <c r="G50" s="104">
        <f>25-4+3</f>
        <v>24</v>
      </c>
      <c r="H50" s="104">
        <f>3232-1</f>
        <v>3231</v>
      </c>
      <c r="I50" s="104">
        <f>15-9-1</f>
        <v>5</v>
      </c>
      <c r="J50" s="104"/>
      <c r="K50" s="101"/>
    </row>
    <row r="51" spans="1:11" x14ac:dyDescent="0.25">
      <c r="A51" s="102">
        <v>45</v>
      </c>
      <c r="B51" s="103" t="s">
        <v>65</v>
      </c>
      <c r="C51" s="104">
        <f t="shared" si="0"/>
        <v>31227</v>
      </c>
      <c r="D51" s="104"/>
      <c r="E51" s="104">
        <f t="shared" si="1"/>
        <v>31227</v>
      </c>
      <c r="F51" s="104">
        <f>31175+52</f>
        <v>31227</v>
      </c>
      <c r="G51" s="104">
        <f>16-3</f>
        <v>13</v>
      </c>
      <c r="H51" s="104"/>
      <c r="I51" s="104"/>
      <c r="J51" s="104"/>
      <c r="K51" s="101"/>
    </row>
    <row r="52" spans="1:11" x14ac:dyDescent="0.25">
      <c r="A52" s="102">
        <v>46</v>
      </c>
      <c r="B52" s="103" t="s">
        <v>66</v>
      </c>
      <c r="C52" s="104">
        <f t="shared" si="0"/>
        <v>8641</v>
      </c>
      <c r="D52" s="104"/>
      <c r="E52" s="104">
        <f t="shared" si="1"/>
        <v>8641</v>
      </c>
      <c r="F52" s="104">
        <f>8627+14</f>
        <v>8641</v>
      </c>
      <c r="G52" s="104">
        <f>12-8</f>
        <v>4</v>
      </c>
      <c r="H52" s="104"/>
      <c r="I52" s="104"/>
      <c r="J52" s="104"/>
      <c r="K52" s="101"/>
    </row>
    <row r="53" spans="1:11" x14ac:dyDescent="0.25">
      <c r="A53" s="102">
        <v>47</v>
      </c>
      <c r="B53" s="103" t="s">
        <v>67</v>
      </c>
      <c r="C53" s="104">
        <f t="shared" si="0"/>
        <v>9956</v>
      </c>
      <c r="D53" s="104"/>
      <c r="E53" s="104">
        <f t="shared" si="1"/>
        <v>9956</v>
      </c>
      <c r="F53" s="104">
        <f>9939+17</f>
        <v>9956</v>
      </c>
      <c r="G53" s="104">
        <f>8-5</f>
        <v>3</v>
      </c>
      <c r="H53" s="104"/>
      <c r="I53" s="104"/>
      <c r="J53" s="104"/>
      <c r="K53" s="101"/>
    </row>
    <row r="54" spans="1:11" x14ac:dyDescent="0.25">
      <c r="A54" s="102">
        <v>48</v>
      </c>
      <c r="B54" s="103" t="s">
        <v>68</v>
      </c>
      <c r="C54" s="104">
        <f t="shared" si="0"/>
        <v>6759</v>
      </c>
      <c r="D54" s="104"/>
      <c r="E54" s="104">
        <f t="shared" si="1"/>
        <v>6759</v>
      </c>
      <c r="F54" s="104">
        <f>6748+11</f>
        <v>6759</v>
      </c>
      <c r="G54" s="104">
        <v>6</v>
      </c>
      <c r="H54" s="104"/>
      <c r="I54" s="104"/>
      <c r="J54" s="104"/>
      <c r="K54" s="101"/>
    </row>
    <row r="55" spans="1:11" x14ac:dyDescent="0.25">
      <c r="A55" s="102">
        <v>49</v>
      </c>
      <c r="B55" s="103" t="s">
        <v>308</v>
      </c>
      <c r="C55" s="104">
        <f t="shared" si="0"/>
        <v>363581</v>
      </c>
      <c r="D55" s="85">
        <f>2900-260</f>
        <v>2640</v>
      </c>
      <c r="E55" s="104">
        <f t="shared" si="1"/>
        <v>360941</v>
      </c>
      <c r="F55" s="85">
        <f>280908+600+11</f>
        <v>281519</v>
      </c>
      <c r="G55" s="85">
        <f>10+5+11</f>
        <v>26</v>
      </c>
      <c r="H55" s="85">
        <f>55070+2</f>
        <v>55072</v>
      </c>
      <c r="I55" s="85">
        <f>70-24+2</f>
        <v>48</v>
      </c>
      <c r="J55" s="85">
        <v>24350</v>
      </c>
    </row>
    <row r="56" spans="1:11" x14ac:dyDescent="0.25">
      <c r="A56" s="102">
        <v>50</v>
      </c>
      <c r="B56" s="103" t="s">
        <v>79</v>
      </c>
      <c r="C56" s="104">
        <f t="shared" si="0"/>
        <v>14731</v>
      </c>
      <c r="D56" s="85"/>
      <c r="E56" s="104">
        <f t="shared" si="1"/>
        <v>14731</v>
      </c>
      <c r="F56" s="85">
        <f>14707+24</f>
        <v>14731</v>
      </c>
      <c r="G56" s="85">
        <f>8-6</f>
        <v>2</v>
      </c>
      <c r="H56" s="85"/>
      <c r="I56" s="85"/>
      <c r="J56" s="85"/>
    </row>
    <row r="57" spans="1:11" x14ac:dyDescent="0.25">
      <c r="A57" s="102">
        <v>51</v>
      </c>
      <c r="B57" s="103" t="s">
        <v>80</v>
      </c>
      <c r="C57" s="104">
        <f t="shared" si="0"/>
        <v>5821</v>
      </c>
      <c r="D57" s="85"/>
      <c r="E57" s="104">
        <f t="shared" si="1"/>
        <v>5821</v>
      </c>
      <c r="F57" s="85">
        <f>5812+10-1</f>
        <v>5821</v>
      </c>
      <c r="G57" s="85">
        <f>8-7-1</f>
        <v>0</v>
      </c>
      <c r="H57" s="85"/>
      <c r="I57" s="85"/>
      <c r="J57" s="85"/>
    </row>
    <row r="58" spans="1:11" x14ac:dyDescent="0.25">
      <c r="A58" s="102">
        <v>52</v>
      </c>
      <c r="B58" s="103" t="s">
        <v>81</v>
      </c>
      <c r="C58" s="104">
        <f t="shared" si="0"/>
        <v>8531</v>
      </c>
      <c r="D58" s="85"/>
      <c r="E58" s="104">
        <f t="shared" si="1"/>
        <v>8531</v>
      </c>
      <c r="F58" s="85">
        <f>7891+14+1</f>
        <v>7906</v>
      </c>
      <c r="G58" s="85">
        <f>4-1+1</f>
        <v>4</v>
      </c>
      <c r="H58" s="85">
        <v>625</v>
      </c>
      <c r="I58" s="85">
        <v>3</v>
      </c>
      <c r="J58" s="85"/>
    </row>
    <row r="59" spans="1:11" x14ac:dyDescent="0.25">
      <c r="A59" s="102">
        <v>53</v>
      </c>
      <c r="B59" s="103" t="s">
        <v>82</v>
      </c>
      <c r="C59" s="104">
        <f t="shared" si="0"/>
        <v>15087</v>
      </c>
      <c r="D59" s="85"/>
      <c r="E59" s="104">
        <f t="shared" si="1"/>
        <v>15087</v>
      </c>
      <c r="F59" s="85">
        <f>15062+25</f>
        <v>15087</v>
      </c>
      <c r="G59" s="85">
        <v>3</v>
      </c>
      <c r="H59" s="85"/>
      <c r="I59" s="85"/>
      <c r="J59" s="85"/>
    </row>
    <row r="60" spans="1:11" x14ac:dyDescent="0.25">
      <c r="A60" s="102">
        <v>54</v>
      </c>
      <c r="B60" s="103" t="s">
        <v>83</v>
      </c>
      <c r="C60" s="104">
        <f t="shared" si="0"/>
        <v>14324</v>
      </c>
      <c r="D60" s="85"/>
      <c r="E60" s="104">
        <f t="shared" si="1"/>
        <v>14324</v>
      </c>
      <c r="F60" s="85">
        <f>14301+24-1</f>
        <v>14324</v>
      </c>
      <c r="G60" s="85">
        <f>7-6-1</f>
        <v>0</v>
      </c>
      <c r="H60" s="85"/>
      <c r="I60" s="85"/>
      <c r="J60" s="85"/>
    </row>
    <row r="61" spans="1:11" x14ac:dyDescent="0.25">
      <c r="A61" s="102">
        <v>55</v>
      </c>
      <c r="B61" s="103" t="s">
        <v>84</v>
      </c>
      <c r="C61" s="104">
        <f t="shared" si="0"/>
        <v>8422</v>
      </c>
      <c r="D61" s="85"/>
      <c r="E61" s="104">
        <f t="shared" si="1"/>
        <v>8422</v>
      </c>
      <c r="F61" s="85">
        <f>8409+14-1</f>
        <v>8422</v>
      </c>
      <c r="G61" s="85">
        <f>2-1-1</f>
        <v>0</v>
      </c>
      <c r="H61" s="85"/>
      <c r="I61" s="85"/>
      <c r="J61" s="85"/>
    </row>
    <row r="62" spans="1:11" x14ac:dyDescent="0.25">
      <c r="A62" s="102">
        <v>56</v>
      </c>
      <c r="B62" s="103" t="s">
        <v>85</v>
      </c>
      <c r="C62" s="104">
        <f t="shared" si="0"/>
        <v>6363</v>
      </c>
      <c r="D62" s="85"/>
      <c r="E62" s="104">
        <f t="shared" si="1"/>
        <v>6363</v>
      </c>
      <c r="F62" s="85">
        <f>6353+11-1</f>
        <v>6363</v>
      </c>
      <c r="G62" s="85">
        <f>3-2-1</f>
        <v>0</v>
      </c>
      <c r="H62" s="85"/>
      <c r="I62" s="85"/>
      <c r="J62" s="85"/>
    </row>
    <row r="63" spans="1:11" x14ac:dyDescent="0.25">
      <c r="A63" s="102">
        <v>57</v>
      </c>
      <c r="B63" s="103" t="s">
        <v>86</v>
      </c>
      <c r="C63" s="104">
        <f t="shared" si="0"/>
        <v>9049</v>
      </c>
      <c r="D63" s="85"/>
      <c r="E63" s="104">
        <f t="shared" si="1"/>
        <v>9049</v>
      </c>
      <c r="F63" s="85">
        <f>9035+15-1</f>
        <v>9049</v>
      </c>
      <c r="G63" s="85">
        <f>2-1-1</f>
        <v>0</v>
      </c>
      <c r="H63" s="85"/>
      <c r="I63" s="85"/>
      <c r="J63" s="85"/>
    </row>
    <row r="64" spans="1:11" x14ac:dyDescent="0.25">
      <c r="A64" s="102">
        <v>58</v>
      </c>
      <c r="B64" s="103" t="s">
        <v>87</v>
      </c>
      <c r="C64" s="104">
        <f t="shared" si="0"/>
        <v>15410</v>
      </c>
      <c r="D64" s="85"/>
      <c r="E64" s="104">
        <f t="shared" si="1"/>
        <v>15410</v>
      </c>
      <c r="F64" s="85">
        <f>15382+26+1</f>
        <v>15409</v>
      </c>
      <c r="G64" s="85">
        <f>10-5+1</f>
        <v>6</v>
      </c>
      <c r="H64" s="85">
        <v>1</v>
      </c>
      <c r="I64" s="85">
        <v>1</v>
      </c>
      <c r="J64" s="85"/>
    </row>
    <row r="65" spans="1:10" x14ac:dyDescent="0.25">
      <c r="A65" s="102">
        <v>59</v>
      </c>
      <c r="B65" s="103" t="s">
        <v>88</v>
      </c>
      <c r="C65" s="104">
        <f t="shared" si="0"/>
        <v>7260</v>
      </c>
      <c r="D65" s="85"/>
      <c r="E65" s="104">
        <f t="shared" si="1"/>
        <v>7260</v>
      </c>
      <c r="F65" s="85">
        <f>7248+12</f>
        <v>7260</v>
      </c>
      <c r="G65" s="85">
        <f>3-1</f>
        <v>2</v>
      </c>
      <c r="H65" s="85"/>
      <c r="I65" s="85"/>
      <c r="J65" s="85"/>
    </row>
    <row r="66" spans="1:10" ht="30" x14ac:dyDescent="0.25">
      <c r="A66" s="102"/>
      <c r="B66" s="105" t="s">
        <v>309</v>
      </c>
      <c r="C66" s="104">
        <f>E66</f>
        <v>14617</v>
      </c>
      <c r="D66" s="85"/>
      <c r="E66" s="104">
        <f>16617-2000</f>
        <v>14617</v>
      </c>
      <c r="F66" s="85"/>
      <c r="G66" s="85"/>
      <c r="H66" s="85"/>
      <c r="I66" s="85"/>
      <c r="J66" s="85"/>
    </row>
    <row r="67" spans="1:10" s="115" customFormat="1" ht="14.25" x14ac:dyDescent="0.2">
      <c r="A67" s="112"/>
      <c r="B67" s="113" t="s">
        <v>4</v>
      </c>
      <c r="C67" s="114">
        <f>SUM(C7:C66)</f>
        <v>1221091</v>
      </c>
      <c r="D67" s="114">
        <f t="shared" ref="D67:J67" si="2">SUM(D7:D65)</f>
        <v>3150</v>
      </c>
      <c r="E67" s="114">
        <f>SUM(E7:E66)</f>
        <v>1217941</v>
      </c>
      <c r="F67" s="114">
        <f t="shared" si="2"/>
        <v>1107139</v>
      </c>
      <c r="G67" s="114">
        <f t="shared" si="2"/>
        <v>291</v>
      </c>
      <c r="H67" s="114">
        <f t="shared" si="2"/>
        <v>71835</v>
      </c>
      <c r="I67" s="114">
        <f t="shared" si="2"/>
        <v>68</v>
      </c>
      <c r="J67" s="114">
        <f t="shared" si="2"/>
        <v>24350</v>
      </c>
    </row>
    <row r="68" spans="1:10" x14ac:dyDescent="0.25">
      <c r="B68" s="116"/>
    </row>
  </sheetData>
  <mergeCells count="7">
    <mergeCell ref="A1:J2"/>
    <mergeCell ref="A4:A5"/>
    <mergeCell ref="B4:B5"/>
    <mergeCell ref="C4:C5"/>
    <mergeCell ref="D4:D5"/>
    <mergeCell ref="E4:E5"/>
    <mergeCell ref="F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КС</vt:lpstr>
      <vt:lpstr>ВМП</vt:lpstr>
      <vt:lpstr>ДС</vt:lpstr>
      <vt:lpstr>АПУ(посещ)</vt:lpstr>
      <vt:lpstr>АПУ(обращ.и  неот.)</vt:lpstr>
      <vt:lpstr>ЦЗ</vt:lpstr>
      <vt:lpstr>ЛДУ </vt:lpstr>
      <vt:lpstr>СМП </vt:lpstr>
      <vt:lpstr>'АПУ(обращ.и  неот.)'!Заголовки_для_печати</vt:lpstr>
      <vt:lpstr>'АПУ(посещ)'!Заголовки_для_печати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ocit_1</dc:creator>
  <cp:lastModifiedBy>Гульшат М. Ардеева</cp:lastModifiedBy>
  <cp:lastPrinted>2018-12-26T04:54:48Z</cp:lastPrinted>
  <dcterms:created xsi:type="dcterms:W3CDTF">2017-12-06T04:37:39Z</dcterms:created>
  <dcterms:modified xsi:type="dcterms:W3CDTF">2019-01-23T11:09:27Z</dcterms:modified>
</cp:coreProperties>
</file>