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Протокол 91\"/>
    </mc:Choice>
  </mc:AlternateContent>
  <bookViews>
    <workbookView xWindow="0" yWindow="0" windowWidth="19200" windowHeight="11295" tabRatio="670" activeTab="1"/>
  </bookViews>
  <sheets>
    <sheet name="ВМП" sheetId="21" r:id="rId1"/>
    <sheet name="КС" sheetId="23" r:id="rId2"/>
    <sheet name="ДС" sheetId="26" r:id="rId3"/>
    <sheet name="АПУ(посещ)" sheetId="27" r:id="rId4"/>
    <sheet name="АПУ(обращ.)" sheetId="28" r:id="rId5"/>
    <sheet name="гемодиализ" sheetId="25" r:id="rId6"/>
    <sheet name="ЛДУ" sheetId="29" r:id="rId7"/>
    <sheet name="УЗИ" sheetId="30" r:id="rId8"/>
    <sheet name="ЦЗ" sheetId="31" r:id="rId9"/>
    <sheet name="СМП" sheetId="32" r:id="rId10"/>
  </sheets>
  <definedNames>
    <definedName name="_xlnm.Print_Titles" localSheetId="4">'АПУ(обращ.)'!$3:$7</definedName>
    <definedName name="_xlnm.Print_Titles" localSheetId="3">'АПУ(посещ)'!$3:$8</definedName>
    <definedName name="_xlnm.Print_Titles" localSheetId="0">ВМП!$2:$2</definedName>
    <definedName name="_xlnm.Print_Titles" localSheetId="5">гемодиализ!$A:$B</definedName>
    <definedName name="_xlnm.Print_Titles" localSheetId="2">ДС!$5:$7</definedName>
    <definedName name="_xlnm.Print_Titles" localSheetId="1">КС!$3:$6</definedName>
    <definedName name="_xlnm.Print_Titles" localSheetId="9">СМП!$4:$6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28" l="1"/>
  <c r="E168" i="28"/>
  <c r="J67" i="32" l="1"/>
  <c r="H67" i="32"/>
  <c r="E66" i="32"/>
  <c r="C66" i="32" s="1"/>
  <c r="G65" i="32"/>
  <c r="F65" i="32"/>
  <c r="E65" i="32" s="1"/>
  <c r="C65" i="32" s="1"/>
  <c r="G64" i="32"/>
  <c r="F64" i="32"/>
  <c r="E64" i="32" s="1"/>
  <c r="C64" i="32" s="1"/>
  <c r="G63" i="32"/>
  <c r="F63" i="32"/>
  <c r="E63" i="32" s="1"/>
  <c r="C63" i="32" s="1"/>
  <c r="G62" i="32"/>
  <c r="F62" i="32"/>
  <c r="E62" i="32" s="1"/>
  <c r="C62" i="32" s="1"/>
  <c r="G61" i="32"/>
  <c r="F61" i="32"/>
  <c r="E61" i="32" s="1"/>
  <c r="C61" i="32" s="1"/>
  <c r="G60" i="32"/>
  <c r="F60" i="32"/>
  <c r="E60" i="32" s="1"/>
  <c r="C60" i="32" s="1"/>
  <c r="F59" i="32"/>
  <c r="E59" i="32" s="1"/>
  <c r="C59" i="32" s="1"/>
  <c r="G58" i="32"/>
  <c r="F58" i="32"/>
  <c r="E58" i="32" s="1"/>
  <c r="C58" i="32" s="1"/>
  <c r="G57" i="32"/>
  <c r="F57" i="32"/>
  <c r="E57" i="32" s="1"/>
  <c r="C57" i="32" s="1"/>
  <c r="G56" i="32"/>
  <c r="F56" i="32"/>
  <c r="E56" i="32" s="1"/>
  <c r="C56" i="32" s="1"/>
  <c r="I55" i="32"/>
  <c r="G55" i="32"/>
  <c r="F55" i="32"/>
  <c r="E55" i="32"/>
  <c r="D55" i="32"/>
  <c r="C55" i="32"/>
  <c r="F54" i="32"/>
  <c r="E54" i="32"/>
  <c r="C54" i="32" s="1"/>
  <c r="G53" i="32"/>
  <c r="F53" i="32"/>
  <c r="E53" i="32" s="1"/>
  <c r="C53" i="32" s="1"/>
  <c r="G52" i="32"/>
  <c r="F52" i="32"/>
  <c r="E52" i="32" s="1"/>
  <c r="C52" i="32" s="1"/>
  <c r="G51" i="32"/>
  <c r="F51" i="32"/>
  <c r="E51" i="32" s="1"/>
  <c r="C51" i="32" s="1"/>
  <c r="I50" i="32"/>
  <c r="G50" i="32"/>
  <c r="F50" i="32"/>
  <c r="E50" i="32" s="1"/>
  <c r="C50" i="32" s="1"/>
  <c r="G49" i="32"/>
  <c r="F49" i="32"/>
  <c r="E49" i="32" s="1"/>
  <c r="C49" i="32" s="1"/>
  <c r="G48" i="32"/>
  <c r="F48" i="32"/>
  <c r="E48" i="32" s="1"/>
  <c r="C48" i="32" s="1"/>
  <c r="F47" i="32"/>
  <c r="E47" i="32"/>
  <c r="C47" i="32" s="1"/>
  <c r="G46" i="32"/>
  <c r="F46" i="32"/>
  <c r="E46" i="32" s="1"/>
  <c r="C46" i="32" s="1"/>
  <c r="G45" i="32"/>
  <c r="F45" i="32"/>
  <c r="E45" i="32" s="1"/>
  <c r="C45" i="32" s="1"/>
  <c r="G44" i="32"/>
  <c r="F44" i="32"/>
  <c r="E44" i="32" s="1"/>
  <c r="C44" i="32" s="1"/>
  <c r="I43" i="32"/>
  <c r="F43" i="32"/>
  <c r="E43" i="32"/>
  <c r="C43" i="32" s="1"/>
  <c r="G42" i="32"/>
  <c r="F42" i="32"/>
  <c r="E42" i="32" s="1"/>
  <c r="C42" i="32" s="1"/>
  <c r="G41" i="32"/>
  <c r="F41" i="32"/>
  <c r="E41" i="32" s="1"/>
  <c r="C41" i="32" s="1"/>
  <c r="G40" i="32"/>
  <c r="F40" i="32"/>
  <c r="E40" i="32" s="1"/>
  <c r="C40" i="32" s="1"/>
  <c r="I39" i="32"/>
  <c r="F39" i="32"/>
  <c r="E39" i="32"/>
  <c r="C39" i="32" s="1"/>
  <c r="G38" i="32"/>
  <c r="F38" i="32"/>
  <c r="E38" i="32" s="1"/>
  <c r="D38" i="32"/>
  <c r="D67" i="32" s="1"/>
  <c r="G37" i="32"/>
  <c r="F37" i="32"/>
  <c r="E37" i="32" s="1"/>
  <c r="C37" i="32" s="1"/>
  <c r="G36" i="32"/>
  <c r="F36" i="32"/>
  <c r="E36" i="32" s="1"/>
  <c r="C36" i="32" s="1"/>
  <c r="G35" i="32"/>
  <c r="F35" i="32"/>
  <c r="E35" i="32" s="1"/>
  <c r="C35" i="32" s="1"/>
  <c r="G34" i="32"/>
  <c r="F34" i="32"/>
  <c r="E34" i="32" s="1"/>
  <c r="C34" i="32" s="1"/>
  <c r="G33" i="32"/>
  <c r="F33" i="32"/>
  <c r="E33" i="32" s="1"/>
  <c r="C33" i="32" s="1"/>
  <c r="G32" i="32"/>
  <c r="F32" i="32"/>
  <c r="E32" i="32" s="1"/>
  <c r="C32" i="32" s="1"/>
  <c r="G31" i="32"/>
  <c r="F31" i="32"/>
  <c r="E31" i="32" s="1"/>
  <c r="C31" i="32" s="1"/>
  <c r="G30" i="32"/>
  <c r="F30" i="32"/>
  <c r="E30" i="32" s="1"/>
  <c r="C30" i="32" s="1"/>
  <c r="G29" i="32"/>
  <c r="F29" i="32"/>
  <c r="E29" i="32" s="1"/>
  <c r="C29" i="32" s="1"/>
  <c r="G28" i="32"/>
  <c r="F28" i="32"/>
  <c r="E28" i="32" s="1"/>
  <c r="C28" i="32" s="1"/>
  <c r="G27" i="32"/>
  <c r="F27" i="32"/>
  <c r="E27" i="32" s="1"/>
  <c r="C27" i="32" s="1"/>
  <c r="G26" i="32"/>
  <c r="F26" i="32"/>
  <c r="E26" i="32" s="1"/>
  <c r="C26" i="32" s="1"/>
  <c r="G25" i="32"/>
  <c r="F25" i="32"/>
  <c r="E25" i="32" s="1"/>
  <c r="C25" i="32" s="1"/>
  <c r="G24" i="32"/>
  <c r="F24" i="32"/>
  <c r="E24" i="32" s="1"/>
  <c r="C24" i="32" s="1"/>
  <c r="G23" i="32"/>
  <c r="F23" i="32"/>
  <c r="E23" i="32" s="1"/>
  <c r="C23" i="32" s="1"/>
  <c r="G22" i="32"/>
  <c r="F22" i="32"/>
  <c r="E22" i="32" s="1"/>
  <c r="C22" i="32" s="1"/>
  <c r="G21" i="32"/>
  <c r="F21" i="32"/>
  <c r="E21" i="32" s="1"/>
  <c r="C21" i="32"/>
  <c r="F20" i="32"/>
  <c r="E20" i="32" s="1"/>
  <c r="C20" i="32" s="1"/>
  <c r="G19" i="32"/>
  <c r="F19" i="32"/>
  <c r="E19" i="32" s="1"/>
  <c r="C19" i="32" s="1"/>
  <c r="G18" i="32"/>
  <c r="F18" i="32"/>
  <c r="E18" i="32" s="1"/>
  <c r="C18" i="32" s="1"/>
  <c r="I17" i="32"/>
  <c r="G17" i="32"/>
  <c r="F17" i="32"/>
  <c r="E17" i="32" s="1"/>
  <c r="C17" i="32" s="1"/>
  <c r="G16" i="32"/>
  <c r="F16" i="32"/>
  <c r="E16" i="32" s="1"/>
  <c r="C16" i="32" s="1"/>
  <c r="G15" i="32"/>
  <c r="F15" i="32"/>
  <c r="E15" i="32" s="1"/>
  <c r="C15" i="32" s="1"/>
  <c r="G14" i="32"/>
  <c r="F14" i="32"/>
  <c r="E14" i="32" s="1"/>
  <c r="C14" i="32" s="1"/>
  <c r="F13" i="32"/>
  <c r="E13" i="32"/>
  <c r="C13" i="32" s="1"/>
  <c r="G12" i="32"/>
  <c r="F12" i="32"/>
  <c r="E12" i="32" s="1"/>
  <c r="C12" i="32" s="1"/>
  <c r="G11" i="32"/>
  <c r="F11" i="32"/>
  <c r="E11" i="32" s="1"/>
  <c r="C11" i="32" s="1"/>
  <c r="G10" i="32"/>
  <c r="F10" i="32"/>
  <c r="E10" i="32" s="1"/>
  <c r="C10" i="32" s="1"/>
  <c r="G9" i="32"/>
  <c r="F9" i="32"/>
  <c r="E9" i="32"/>
  <c r="C9" i="32" s="1"/>
  <c r="G8" i="32"/>
  <c r="F8" i="32"/>
  <c r="E8" i="32" s="1"/>
  <c r="C8" i="32" s="1"/>
  <c r="I7" i="32"/>
  <c r="I67" i="32" s="1"/>
  <c r="G7" i="32"/>
  <c r="G67" i="32" s="1"/>
  <c r="F7" i="32"/>
  <c r="C38" i="32" l="1"/>
  <c r="E7" i="32"/>
  <c r="F67" i="32"/>
  <c r="M29" i="31"/>
  <c r="L29" i="31"/>
  <c r="K29" i="31"/>
  <c r="I29" i="31"/>
  <c r="F28" i="31"/>
  <c r="E28" i="31"/>
  <c r="D28" i="31"/>
  <c r="C28" i="31"/>
  <c r="F27" i="31"/>
  <c r="E27" i="31"/>
  <c r="D27" i="31"/>
  <c r="C27" i="31"/>
  <c r="B27" i="31"/>
  <c r="F26" i="31"/>
  <c r="E26" i="31"/>
  <c r="D26" i="31"/>
  <c r="C26" i="31"/>
  <c r="B26" i="31" s="1"/>
  <c r="F25" i="31"/>
  <c r="E25" i="31"/>
  <c r="D25" i="31"/>
  <c r="C25" i="31"/>
  <c r="B25" i="31" s="1"/>
  <c r="J24" i="31"/>
  <c r="J29" i="31" s="1"/>
  <c r="G24" i="31"/>
  <c r="G29" i="31" s="1"/>
  <c r="F24" i="31"/>
  <c r="E24" i="31"/>
  <c r="D24" i="31"/>
  <c r="C24" i="31"/>
  <c r="F23" i="31"/>
  <c r="E23" i="31"/>
  <c r="D23" i="31"/>
  <c r="C23" i="31"/>
  <c r="B23" i="31" s="1"/>
  <c r="F22" i="31"/>
  <c r="E22" i="31"/>
  <c r="D22" i="31"/>
  <c r="C22" i="31"/>
  <c r="H21" i="31"/>
  <c r="D21" i="31" s="1"/>
  <c r="F21" i="31"/>
  <c r="E21" i="31"/>
  <c r="C21" i="31"/>
  <c r="F20" i="31"/>
  <c r="E20" i="31"/>
  <c r="D20" i="31"/>
  <c r="C20" i="31"/>
  <c r="F19" i="31"/>
  <c r="E19" i="31"/>
  <c r="D19" i="31"/>
  <c r="C19" i="31"/>
  <c r="F18" i="31"/>
  <c r="E18" i="31"/>
  <c r="D18" i="31"/>
  <c r="C18" i="31"/>
  <c r="B18" i="31"/>
  <c r="F17" i="31"/>
  <c r="E17" i="31"/>
  <c r="D17" i="31"/>
  <c r="C17" i="31"/>
  <c r="B17" i="31" s="1"/>
  <c r="F16" i="31"/>
  <c r="E16" i="31"/>
  <c r="D16" i="31"/>
  <c r="C16" i="31"/>
  <c r="B16" i="31" s="1"/>
  <c r="F15" i="31"/>
  <c r="E15" i="31"/>
  <c r="D15" i="31"/>
  <c r="C15" i="31"/>
  <c r="F14" i="31"/>
  <c r="E14" i="31"/>
  <c r="D14" i="31"/>
  <c r="C14" i="31"/>
  <c r="B14" i="31" s="1"/>
  <c r="F13" i="31"/>
  <c r="E13" i="31"/>
  <c r="D13" i="31"/>
  <c r="C13" i="31"/>
  <c r="F12" i="31"/>
  <c r="E12" i="31"/>
  <c r="D12" i="31"/>
  <c r="C12" i="31"/>
  <c r="F11" i="31"/>
  <c r="E11" i="31"/>
  <c r="D11" i="31"/>
  <c r="C11" i="31"/>
  <c r="F10" i="31"/>
  <c r="E10" i="31"/>
  <c r="D10" i="31"/>
  <c r="C10" i="31"/>
  <c r="B10" i="31"/>
  <c r="F9" i="31"/>
  <c r="E9" i="31"/>
  <c r="D9" i="31"/>
  <c r="C9" i="31"/>
  <c r="B9" i="31" s="1"/>
  <c r="F8" i="31"/>
  <c r="E8" i="31"/>
  <c r="D8" i="31"/>
  <c r="C8" i="31"/>
  <c r="B8" i="31" s="1"/>
  <c r="F7" i="31"/>
  <c r="E7" i="31"/>
  <c r="D7" i="31"/>
  <c r="C7" i="31"/>
  <c r="B12" i="31" l="1"/>
  <c r="B13" i="31"/>
  <c r="B20" i="31"/>
  <c r="B22" i="31"/>
  <c r="E67" i="32"/>
  <c r="C7" i="32"/>
  <c r="C67" i="32" s="1"/>
  <c r="C29" i="31"/>
  <c r="E29" i="31"/>
  <c r="D29" i="31"/>
  <c r="F29" i="31"/>
  <c r="B11" i="31"/>
  <c r="B15" i="31"/>
  <c r="B19" i="31"/>
  <c r="B24" i="31"/>
  <c r="B28" i="31"/>
  <c r="B21" i="31"/>
  <c r="H29" i="31"/>
  <c r="B7" i="31"/>
  <c r="B29" i="31" s="1"/>
  <c r="C24" i="30" l="1"/>
  <c r="B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O50" i="29"/>
  <c r="K50" i="29"/>
  <c r="G49" i="29"/>
  <c r="J49" i="29" s="1"/>
  <c r="B49" i="29" s="1"/>
  <c r="F49" i="29"/>
  <c r="J48" i="29"/>
  <c r="D48" i="29"/>
  <c r="C48" i="29"/>
  <c r="F48" i="29" s="1"/>
  <c r="B48" i="29" s="1"/>
  <c r="G47" i="29"/>
  <c r="J47" i="29" s="1"/>
  <c r="F47" i="29"/>
  <c r="J46" i="29"/>
  <c r="F46" i="29"/>
  <c r="B46" i="29" s="1"/>
  <c r="I45" i="29"/>
  <c r="H45" i="29"/>
  <c r="G45" i="29"/>
  <c r="F45" i="29"/>
  <c r="J44" i="29"/>
  <c r="F44" i="29"/>
  <c r="F43" i="29"/>
  <c r="B43" i="29" s="1"/>
  <c r="F42" i="29"/>
  <c r="B42" i="29" s="1"/>
  <c r="F41" i="29"/>
  <c r="B41" i="29" s="1"/>
  <c r="C40" i="29"/>
  <c r="F40" i="29" s="1"/>
  <c r="B40" i="29" s="1"/>
  <c r="F39" i="29"/>
  <c r="B39" i="29" s="1"/>
  <c r="F38" i="29"/>
  <c r="B38" i="29" s="1"/>
  <c r="J37" i="29"/>
  <c r="F37" i="29"/>
  <c r="E36" i="29"/>
  <c r="D36" i="29"/>
  <c r="C36" i="29"/>
  <c r="F35" i="29"/>
  <c r="B35" i="29" s="1"/>
  <c r="D34" i="29"/>
  <c r="F34" i="29" s="1"/>
  <c r="B34" i="29" s="1"/>
  <c r="C33" i="29"/>
  <c r="F33" i="29" s="1"/>
  <c r="B33" i="29" s="1"/>
  <c r="F32" i="29"/>
  <c r="B32" i="29" s="1"/>
  <c r="M31" i="29"/>
  <c r="I31" i="29"/>
  <c r="I50" i="29" s="1"/>
  <c r="H31" i="29"/>
  <c r="H50" i="29" s="1"/>
  <c r="E31" i="29"/>
  <c r="D31" i="29"/>
  <c r="C31" i="29"/>
  <c r="M30" i="29"/>
  <c r="F30" i="29"/>
  <c r="B30" i="29" s="1"/>
  <c r="L29" i="29"/>
  <c r="M29" i="29" s="1"/>
  <c r="J29" i="29"/>
  <c r="E29" i="29"/>
  <c r="C29" i="29"/>
  <c r="J28" i="29"/>
  <c r="F28" i="29"/>
  <c r="G27" i="29"/>
  <c r="J27" i="29" s="1"/>
  <c r="B27" i="29" s="1"/>
  <c r="F27" i="29"/>
  <c r="M26" i="29"/>
  <c r="C26" i="29"/>
  <c r="F26" i="29" s="1"/>
  <c r="G25" i="29"/>
  <c r="G50" i="29" s="1"/>
  <c r="F25" i="29"/>
  <c r="F24" i="29"/>
  <c r="B24" i="29" s="1"/>
  <c r="J23" i="29"/>
  <c r="C23" i="29"/>
  <c r="F23" i="29" s="1"/>
  <c r="B23" i="29" s="1"/>
  <c r="C22" i="29"/>
  <c r="F22" i="29" s="1"/>
  <c r="B22" i="29" s="1"/>
  <c r="C21" i="29"/>
  <c r="F21" i="29" s="1"/>
  <c r="B21" i="29" s="1"/>
  <c r="F20" i="29"/>
  <c r="B20" i="29" s="1"/>
  <c r="C19" i="29"/>
  <c r="F19" i="29" s="1"/>
  <c r="B19" i="29" s="1"/>
  <c r="E18" i="29"/>
  <c r="D18" i="29"/>
  <c r="F18" i="29" s="1"/>
  <c r="B18" i="29" s="1"/>
  <c r="F17" i="29"/>
  <c r="B17" i="29" s="1"/>
  <c r="N16" i="29"/>
  <c r="N50" i="29" s="1"/>
  <c r="J16" i="29"/>
  <c r="E16" i="29"/>
  <c r="D16" i="29"/>
  <c r="C16" i="29"/>
  <c r="C15" i="29"/>
  <c r="F15" i="29" s="1"/>
  <c r="B15" i="29" s="1"/>
  <c r="D14" i="29"/>
  <c r="C14" i="29"/>
  <c r="F13" i="29"/>
  <c r="B13" i="29" s="1"/>
  <c r="C12" i="29"/>
  <c r="F12" i="29" s="1"/>
  <c r="B12" i="29" s="1"/>
  <c r="F11" i="29"/>
  <c r="B11" i="29" s="1"/>
  <c r="C10" i="29"/>
  <c r="F10" i="29" s="1"/>
  <c r="B10" i="29" s="1"/>
  <c r="E9" i="29"/>
  <c r="D9" i="29"/>
  <c r="C9" i="29"/>
  <c r="C8" i="29"/>
  <c r="F8" i="29" s="1"/>
  <c r="B8" i="29" s="1"/>
  <c r="C7" i="29"/>
  <c r="C50" i="29" s="1"/>
  <c r="F6" i="29"/>
  <c r="B6" i="29" s="1"/>
  <c r="D5" i="29"/>
  <c r="F5" i="29" s="1"/>
  <c r="D24" i="30" l="1"/>
  <c r="F9" i="29"/>
  <c r="B9" i="29" s="1"/>
  <c r="B26" i="29"/>
  <c r="B28" i="29"/>
  <c r="F29" i="29"/>
  <c r="F36" i="29"/>
  <c r="B36" i="29" s="1"/>
  <c r="B37" i="29"/>
  <c r="B44" i="29"/>
  <c r="F7" i="29"/>
  <c r="B7" i="29" s="1"/>
  <c r="E50" i="29"/>
  <c r="F14" i="29"/>
  <c r="B14" i="29" s="1"/>
  <c r="F16" i="29"/>
  <c r="B16" i="29" s="1"/>
  <c r="F31" i="29"/>
  <c r="J45" i="29"/>
  <c r="B45" i="29" s="1"/>
  <c r="B47" i="29"/>
  <c r="B5" i="29"/>
  <c r="F50" i="29"/>
  <c r="M50" i="29"/>
  <c r="B29" i="29"/>
  <c r="J31" i="29"/>
  <c r="B31" i="29" s="1"/>
  <c r="D50" i="29"/>
  <c r="L50" i="29"/>
  <c r="J25" i="29"/>
  <c r="J50" i="29" l="1"/>
  <c r="B25" i="29"/>
  <c r="B50" i="29" s="1"/>
  <c r="G181" i="28" l="1"/>
  <c r="C180" i="28"/>
  <c r="J179" i="28"/>
  <c r="E179" i="28" s="1"/>
  <c r="E178" i="28"/>
  <c r="E177" i="28"/>
  <c r="C177" i="28"/>
  <c r="E176" i="28"/>
  <c r="E175" i="28"/>
  <c r="D175" i="28"/>
  <c r="C175" i="28"/>
  <c r="E174" i="28"/>
  <c r="C174" i="28"/>
  <c r="H173" i="28"/>
  <c r="E173" i="28" s="1"/>
  <c r="J172" i="28"/>
  <c r="E172" i="28" s="1"/>
  <c r="D172" i="28"/>
  <c r="C172" i="28"/>
  <c r="E171" i="28"/>
  <c r="E170" i="28"/>
  <c r="H169" i="28"/>
  <c r="E169" i="28" s="1"/>
  <c r="E167" i="28"/>
  <c r="E166" i="28"/>
  <c r="E165" i="28"/>
  <c r="J164" i="28"/>
  <c r="E164" i="28" s="1"/>
  <c r="E163" i="28"/>
  <c r="J162" i="28"/>
  <c r="E162" i="28" s="1"/>
  <c r="H161" i="28"/>
  <c r="E161" i="28" s="1"/>
  <c r="E160" i="28"/>
  <c r="E159" i="28"/>
  <c r="E158" i="28"/>
  <c r="E157" i="28"/>
  <c r="J156" i="28"/>
  <c r="E156" i="28" s="1"/>
  <c r="H155" i="28"/>
  <c r="E155" i="28" s="1"/>
  <c r="E154" i="28"/>
  <c r="H153" i="28"/>
  <c r="E153" i="28" s="1"/>
  <c r="E152" i="28"/>
  <c r="E151" i="28"/>
  <c r="J150" i="28"/>
  <c r="E150" i="28" s="1"/>
  <c r="H149" i="28"/>
  <c r="E149" i="28" s="1"/>
  <c r="E148" i="28"/>
  <c r="E147" i="28"/>
  <c r="E146" i="28"/>
  <c r="C146" i="28"/>
  <c r="E145" i="28"/>
  <c r="C145" i="28"/>
  <c r="H144" i="28"/>
  <c r="E144" i="28" s="1"/>
  <c r="E143" i="28"/>
  <c r="E142" i="28"/>
  <c r="E141" i="28"/>
  <c r="F140" i="28"/>
  <c r="E140" i="28" s="1"/>
  <c r="E139" i="28"/>
  <c r="E138" i="28"/>
  <c r="E137" i="28"/>
  <c r="F136" i="28"/>
  <c r="E136" i="28" s="1"/>
  <c r="E135" i="28"/>
  <c r="C135" i="28"/>
  <c r="E134" i="28"/>
  <c r="E133" i="28"/>
  <c r="E132" i="28"/>
  <c r="C132" i="28"/>
  <c r="E131" i="28"/>
  <c r="C131" i="28"/>
  <c r="F130" i="28"/>
  <c r="E130" i="28" s="1"/>
  <c r="E129" i="28"/>
  <c r="E128" i="28"/>
  <c r="E127" i="28"/>
  <c r="E126" i="28"/>
  <c r="E125" i="28"/>
  <c r="D125" i="28"/>
  <c r="C125" i="28"/>
  <c r="F124" i="28"/>
  <c r="E124" i="28" s="1"/>
  <c r="D124" i="28"/>
  <c r="C124" i="28"/>
  <c r="E123" i="28"/>
  <c r="E122" i="28"/>
  <c r="E121" i="28"/>
  <c r="E120" i="28"/>
  <c r="E119" i="28"/>
  <c r="E118" i="28"/>
  <c r="E117" i="28"/>
  <c r="F116" i="28"/>
  <c r="E116" i="28" s="1"/>
  <c r="C116" i="28"/>
  <c r="F115" i="28"/>
  <c r="E115" i="28" s="1"/>
  <c r="F114" i="28"/>
  <c r="E114" i="28" s="1"/>
  <c r="E113" i="28"/>
  <c r="C113" i="28"/>
  <c r="E112" i="28"/>
  <c r="E111" i="28"/>
  <c r="E110" i="28"/>
  <c r="E109" i="28"/>
  <c r="E108" i="28"/>
  <c r="E107" i="28"/>
  <c r="E106" i="28"/>
  <c r="E105" i="28"/>
  <c r="E104" i="28"/>
  <c r="E103" i="28"/>
  <c r="F102" i="28"/>
  <c r="E102" i="28" s="1"/>
  <c r="F101" i="28"/>
  <c r="E101" i="28" s="1"/>
  <c r="E100" i="28"/>
  <c r="F99" i="28"/>
  <c r="E99" i="28" s="1"/>
  <c r="C99" i="28"/>
  <c r="E98" i="28"/>
  <c r="E97" i="28"/>
  <c r="F96" i="28"/>
  <c r="E96" i="28" s="1"/>
  <c r="E95" i="28"/>
  <c r="E94" i="28"/>
  <c r="F93" i="28"/>
  <c r="E93" i="28" s="1"/>
  <c r="F92" i="28"/>
  <c r="E92" i="28" s="1"/>
  <c r="E91" i="28"/>
  <c r="E90" i="28"/>
  <c r="E89" i="28"/>
  <c r="F88" i="28"/>
  <c r="E88" i="28" s="1"/>
  <c r="E87" i="28"/>
  <c r="F86" i="28"/>
  <c r="E86" i="28" s="1"/>
  <c r="E85" i="28"/>
  <c r="E84" i="28"/>
  <c r="E83" i="28"/>
  <c r="E82" i="28"/>
  <c r="E81" i="28"/>
  <c r="E80" i="28"/>
  <c r="E79" i="28"/>
  <c r="F78" i="28"/>
  <c r="E78" i="28"/>
  <c r="C78" i="28"/>
  <c r="E77" i="28"/>
  <c r="C77" i="28"/>
  <c r="F76" i="28"/>
  <c r="E76" i="28" s="1"/>
  <c r="E75" i="28"/>
  <c r="E74" i="28"/>
  <c r="E73" i="28"/>
  <c r="E72" i="28"/>
  <c r="E71" i="28"/>
  <c r="F70" i="28"/>
  <c r="E70" i="28" s="1"/>
  <c r="E69" i="28"/>
  <c r="E68" i="28"/>
  <c r="E67" i="28"/>
  <c r="C67" i="28"/>
  <c r="E66" i="28"/>
  <c r="I181" i="28"/>
  <c r="F65" i="28"/>
  <c r="E65" i="28" s="1"/>
  <c r="E64" i="28"/>
  <c r="E63" i="28"/>
  <c r="E62" i="28"/>
  <c r="E61" i="28"/>
  <c r="E60" i="28"/>
  <c r="E59" i="28"/>
  <c r="E58" i="28"/>
  <c r="E57" i="28"/>
  <c r="E56" i="28"/>
  <c r="F55" i="28"/>
  <c r="E55" i="28" s="1"/>
  <c r="E54" i="28"/>
  <c r="E53" i="28"/>
  <c r="E52" i="28"/>
  <c r="E51" i="28"/>
  <c r="H50" i="28"/>
  <c r="E50" i="28" s="1"/>
  <c r="E49" i="28"/>
  <c r="H48" i="28"/>
  <c r="E48" i="28" s="1"/>
  <c r="E47" i="28"/>
  <c r="E46" i="28"/>
  <c r="H45" i="28"/>
  <c r="E45" i="28" s="1"/>
  <c r="E44" i="28"/>
  <c r="E43" i="28"/>
  <c r="E42" i="28"/>
  <c r="E41" i="28"/>
  <c r="F40" i="28"/>
  <c r="E40" i="28" s="1"/>
  <c r="F39" i="28"/>
  <c r="E39" i="28" s="1"/>
  <c r="C39" i="28"/>
  <c r="F38" i="28"/>
  <c r="E38" i="28" s="1"/>
  <c r="E37" i="28"/>
  <c r="F36" i="28"/>
  <c r="E36" i="28"/>
  <c r="E35" i="28"/>
  <c r="F34" i="28"/>
  <c r="E34" i="28" s="1"/>
  <c r="E33" i="28"/>
  <c r="F32" i="28"/>
  <c r="E32" i="28" s="1"/>
  <c r="E31" i="28"/>
  <c r="E30" i="28"/>
  <c r="E29" i="28"/>
  <c r="E28" i="28"/>
  <c r="H27" i="28"/>
  <c r="E27" i="28" s="1"/>
  <c r="E26" i="28"/>
  <c r="E25" i="28"/>
  <c r="H24" i="28"/>
  <c r="E24" i="28" s="1"/>
  <c r="E23" i="28"/>
  <c r="E22" i="28"/>
  <c r="F21" i="28"/>
  <c r="E21" i="28" s="1"/>
  <c r="C21" i="28"/>
  <c r="E20" i="28"/>
  <c r="H19" i="28"/>
  <c r="E19" i="28" s="1"/>
  <c r="E18" i="28"/>
  <c r="E17" i="28"/>
  <c r="H16" i="28"/>
  <c r="E16" i="28" s="1"/>
  <c r="C16" i="28"/>
  <c r="E15" i="28"/>
  <c r="C15" i="28"/>
  <c r="E14" i="28"/>
  <c r="E13" i="28"/>
  <c r="C13" i="28"/>
  <c r="F12" i="28"/>
  <c r="E12" i="28" s="1"/>
  <c r="F11" i="28"/>
  <c r="E11" i="28" s="1"/>
  <c r="F10" i="28"/>
  <c r="E10" i="28" s="1"/>
  <c r="E9" i="28"/>
  <c r="F8" i="28"/>
  <c r="E8" i="28" s="1"/>
  <c r="C8" i="28"/>
  <c r="D181" i="28" l="1"/>
  <c r="C181" i="28"/>
  <c r="E181" i="28"/>
  <c r="F181" i="28"/>
  <c r="H181" i="28"/>
  <c r="J181" i="28"/>
  <c r="J169" i="27" l="1"/>
  <c r="I169" i="27"/>
  <c r="C168" i="27"/>
  <c r="C167" i="27"/>
  <c r="R166" i="27"/>
  <c r="Q166" i="27"/>
  <c r="F166" i="27"/>
  <c r="E166" i="27" s="1"/>
  <c r="C166" i="27" s="1"/>
  <c r="R165" i="27"/>
  <c r="Q165" i="27"/>
  <c r="F165" i="27"/>
  <c r="E165" i="27"/>
  <c r="C165" i="27" s="1"/>
  <c r="O164" i="27"/>
  <c r="C164" i="27"/>
  <c r="L163" i="27"/>
  <c r="C163" i="27"/>
  <c r="C162" i="27"/>
  <c r="C161" i="27"/>
  <c r="O160" i="27"/>
  <c r="C160" i="27"/>
  <c r="O159" i="27"/>
  <c r="C159" i="27"/>
  <c r="C158" i="27"/>
  <c r="C157" i="27"/>
  <c r="C156" i="27"/>
  <c r="O155" i="27"/>
  <c r="C155" i="27" s="1"/>
  <c r="C154" i="27"/>
  <c r="O153" i="27"/>
  <c r="O169" i="27" s="1"/>
  <c r="C152" i="27"/>
  <c r="C151" i="27"/>
  <c r="C150" i="27"/>
  <c r="P149" i="27"/>
  <c r="C149" i="27" s="1"/>
  <c r="C148" i="27"/>
  <c r="C147" i="27"/>
  <c r="C146" i="27"/>
  <c r="C145" i="27"/>
  <c r="C144" i="27"/>
  <c r="R143" i="27"/>
  <c r="Q143" i="27"/>
  <c r="E143" i="27"/>
  <c r="C143" i="27" s="1"/>
  <c r="C142" i="27"/>
  <c r="R141" i="27"/>
  <c r="Q141" i="27"/>
  <c r="E141" i="27"/>
  <c r="R140" i="27"/>
  <c r="Q140" i="27"/>
  <c r="N140" i="27"/>
  <c r="M140" i="27"/>
  <c r="F140" i="27"/>
  <c r="E140" i="27" s="1"/>
  <c r="P139" i="27"/>
  <c r="C139" i="27" s="1"/>
  <c r="R138" i="27"/>
  <c r="Q138" i="27"/>
  <c r="E138" i="27"/>
  <c r="R137" i="27"/>
  <c r="Q137" i="27"/>
  <c r="E137" i="27"/>
  <c r="R136" i="27"/>
  <c r="Q136" i="27"/>
  <c r="G136" i="27"/>
  <c r="E136" i="27" s="1"/>
  <c r="R135" i="27"/>
  <c r="Q135" i="27"/>
  <c r="E135" i="27"/>
  <c r="R134" i="27"/>
  <c r="Q134" i="27"/>
  <c r="E134" i="27"/>
  <c r="C134" i="27" s="1"/>
  <c r="R133" i="27"/>
  <c r="Q133" i="27"/>
  <c r="E133" i="27"/>
  <c r="R132" i="27"/>
  <c r="Q132" i="27"/>
  <c r="G132" i="27"/>
  <c r="E132" i="27" s="1"/>
  <c r="C132" i="27" s="1"/>
  <c r="R131" i="27"/>
  <c r="Q131" i="27"/>
  <c r="E131" i="27"/>
  <c r="R130" i="27"/>
  <c r="Q130" i="27"/>
  <c r="G130" i="27"/>
  <c r="E130" i="27" s="1"/>
  <c r="R129" i="27"/>
  <c r="Q129" i="27"/>
  <c r="E129" i="27"/>
  <c r="C128" i="27"/>
  <c r="R127" i="27"/>
  <c r="Q127" i="27"/>
  <c r="F127" i="27"/>
  <c r="E127" i="27" s="1"/>
  <c r="Q126" i="27"/>
  <c r="C126" i="27" s="1"/>
  <c r="R125" i="27"/>
  <c r="Q125" i="27"/>
  <c r="N125" i="27"/>
  <c r="N169" i="27" s="1"/>
  <c r="M125" i="27"/>
  <c r="E125" i="27"/>
  <c r="R124" i="27"/>
  <c r="Q124" i="27"/>
  <c r="E124" i="27"/>
  <c r="R123" i="27"/>
  <c r="L123" i="27"/>
  <c r="E123" i="27"/>
  <c r="R122" i="27"/>
  <c r="Q122" i="27"/>
  <c r="G122" i="27"/>
  <c r="E122" i="27" s="1"/>
  <c r="R121" i="27"/>
  <c r="Q121" i="27"/>
  <c r="E121" i="27"/>
  <c r="R120" i="27"/>
  <c r="Q120" i="27"/>
  <c r="L120" i="27"/>
  <c r="E120" i="27"/>
  <c r="R119" i="27"/>
  <c r="Q119" i="27"/>
  <c r="E119" i="27"/>
  <c r="D119" i="27"/>
  <c r="C119" i="27"/>
  <c r="C118" i="27"/>
  <c r="C117" i="27"/>
  <c r="C116" i="27"/>
  <c r="C115" i="27"/>
  <c r="C114" i="27"/>
  <c r="C113" i="27"/>
  <c r="C112" i="27"/>
  <c r="R111" i="27"/>
  <c r="Q111" i="27"/>
  <c r="F111" i="27"/>
  <c r="E111" i="27" s="1"/>
  <c r="C111" i="27" s="1"/>
  <c r="R110" i="27"/>
  <c r="Q110" i="27"/>
  <c r="G110" i="27"/>
  <c r="E110" i="27"/>
  <c r="C110" i="27" s="1"/>
  <c r="R109" i="27"/>
  <c r="Q109" i="27"/>
  <c r="L109" i="27"/>
  <c r="E109" i="27"/>
  <c r="C109" i="27" s="1"/>
  <c r="R108" i="27"/>
  <c r="Q108" i="27"/>
  <c r="E108" i="27"/>
  <c r="R107" i="27"/>
  <c r="Q107" i="27"/>
  <c r="L107" i="27"/>
  <c r="E107" i="27"/>
  <c r="R106" i="27"/>
  <c r="Q106" i="27"/>
  <c r="G106" i="27"/>
  <c r="E106" i="27" s="1"/>
  <c r="C106" i="27" s="1"/>
  <c r="R105" i="27"/>
  <c r="Q105" i="27"/>
  <c r="L105" i="27"/>
  <c r="E105" i="27"/>
  <c r="C105" i="27" s="1"/>
  <c r="R104" i="27"/>
  <c r="Q104" i="27"/>
  <c r="E104" i="27"/>
  <c r="R103" i="27"/>
  <c r="Q103" i="27"/>
  <c r="F103" i="27"/>
  <c r="E103" i="27" s="1"/>
  <c r="C103" i="27" s="1"/>
  <c r="R102" i="27"/>
  <c r="Q102" i="27"/>
  <c r="E102" i="27"/>
  <c r="D102" i="27"/>
  <c r="D169" i="27" s="1"/>
  <c r="R101" i="27"/>
  <c r="Q101" i="27"/>
  <c r="F101" i="27"/>
  <c r="E101" i="27" s="1"/>
  <c r="C100" i="27"/>
  <c r="C99" i="27"/>
  <c r="Q98" i="27"/>
  <c r="C98" i="27" s="1"/>
  <c r="Q97" i="27"/>
  <c r="C97" i="27" s="1"/>
  <c r="Q96" i="27"/>
  <c r="C96" i="27" s="1"/>
  <c r="Q95" i="27"/>
  <c r="C95" i="27" s="1"/>
  <c r="Q94" i="27"/>
  <c r="C94" i="27" s="1"/>
  <c r="R93" i="27"/>
  <c r="Q93" i="27"/>
  <c r="E93" i="27"/>
  <c r="R92" i="27"/>
  <c r="Q92" i="27"/>
  <c r="K92" i="27"/>
  <c r="E92" i="27"/>
  <c r="R91" i="27"/>
  <c r="Q91" i="27"/>
  <c r="E91" i="27"/>
  <c r="C91" i="27" s="1"/>
  <c r="C90" i="27"/>
  <c r="R89" i="27"/>
  <c r="Q89" i="27"/>
  <c r="L89" i="27"/>
  <c r="K89" i="27"/>
  <c r="G89" i="27"/>
  <c r="E89" i="27" s="1"/>
  <c r="C89" i="27" s="1"/>
  <c r="R88" i="27"/>
  <c r="Q88" i="27"/>
  <c r="L88" i="27"/>
  <c r="E88" i="27"/>
  <c r="C88" i="27" s="1"/>
  <c r="Q87" i="27"/>
  <c r="C87" i="27" s="1"/>
  <c r="R86" i="27"/>
  <c r="Q86" i="27"/>
  <c r="E86" i="27"/>
  <c r="C86" i="27" s="1"/>
  <c r="R85" i="27"/>
  <c r="Q85" i="27"/>
  <c r="E85" i="27"/>
  <c r="C85" i="27" s="1"/>
  <c r="R84" i="27"/>
  <c r="Q84" i="27"/>
  <c r="E84" i="27"/>
  <c r="C84" i="27" s="1"/>
  <c r="R83" i="27"/>
  <c r="Q83" i="27"/>
  <c r="G83" i="27"/>
  <c r="E83" i="27" s="1"/>
  <c r="C83" i="27" s="1"/>
  <c r="R82" i="27"/>
  <c r="Q82" i="27"/>
  <c r="E82" i="27"/>
  <c r="R81" i="27"/>
  <c r="Q81" i="27"/>
  <c r="E81" i="27"/>
  <c r="C80" i="27"/>
  <c r="C79" i="27"/>
  <c r="C78" i="27"/>
  <c r="Q77" i="27"/>
  <c r="K77" i="27"/>
  <c r="R76" i="27"/>
  <c r="Q76" i="27"/>
  <c r="L76" i="27"/>
  <c r="G76" i="27"/>
  <c r="E76" i="27" s="1"/>
  <c r="C76" i="27" s="1"/>
  <c r="R75" i="27"/>
  <c r="Q75" i="27"/>
  <c r="L75" i="27"/>
  <c r="H75" i="27"/>
  <c r="E75" i="27"/>
  <c r="R74" i="27"/>
  <c r="Q74" i="27"/>
  <c r="E74" i="27"/>
  <c r="R73" i="27"/>
  <c r="Q73" i="27"/>
  <c r="E73" i="27"/>
  <c r="R72" i="27"/>
  <c r="Q72" i="27"/>
  <c r="H72" i="27"/>
  <c r="G72" i="27"/>
  <c r="F72" i="27"/>
  <c r="R71" i="27"/>
  <c r="Q71" i="27"/>
  <c r="E71" i="27"/>
  <c r="C71" i="27" s="1"/>
  <c r="C70" i="27"/>
  <c r="C69" i="27"/>
  <c r="Q68" i="27"/>
  <c r="C68" i="27" s="1"/>
  <c r="C67" i="27"/>
  <c r="R66" i="27"/>
  <c r="Q66" i="27"/>
  <c r="E66" i="27"/>
  <c r="R65" i="27"/>
  <c r="Q65" i="27"/>
  <c r="E65" i="27"/>
  <c r="R64" i="27"/>
  <c r="Q64" i="27"/>
  <c r="E64" i="27"/>
  <c r="R63" i="27"/>
  <c r="Q63" i="27"/>
  <c r="L63" i="27"/>
  <c r="E63" i="27"/>
  <c r="R62" i="27"/>
  <c r="Q62" i="27"/>
  <c r="G62" i="27"/>
  <c r="E62" i="27" s="1"/>
  <c r="C62" i="27" s="1"/>
  <c r="C61" i="27"/>
  <c r="C60" i="27"/>
  <c r="R59" i="27"/>
  <c r="Q59" i="27"/>
  <c r="G59" i="27"/>
  <c r="E59" i="27" s="1"/>
  <c r="R58" i="27"/>
  <c r="Q58" i="27"/>
  <c r="K58" i="27"/>
  <c r="E58" i="27"/>
  <c r="R57" i="27"/>
  <c r="Q57" i="27"/>
  <c r="G57" i="27"/>
  <c r="E57" i="27" s="1"/>
  <c r="C56" i="27"/>
  <c r="R55" i="27"/>
  <c r="Q55" i="27"/>
  <c r="G55" i="27"/>
  <c r="E55" i="27" s="1"/>
  <c r="C54" i="27"/>
  <c r="R53" i="27"/>
  <c r="Q53" i="27"/>
  <c r="E53" i="27"/>
  <c r="R52" i="27"/>
  <c r="Q52" i="27"/>
  <c r="G52" i="27"/>
  <c r="E52" i="27" s="1"/>
  <c r="R51" i="27"/>
  <c r="Q51" i="27"/>
  <c r="E51" i="27"/>
  <c r="C51" i="27" s="1"/>
  <c r="R50" i="27"/>
  <c r="Q50" i="27"/>
  <c r="G50" i="27"/>
  <c r="E50" i="27" s="1"/>
  <c r="C50" i="27" s="1"/>
  <c r="R49" i="27"/>
  <c r="Q49" i="27"/>
  <c r="L49" i="27"/>
  <c r="G49" i="27"/>
  <c r="E49" i="27" s="1"/>
  <c r="C48" i="27"/>
  <c r="C47" i="27"/>
  <c r="P46" i="27"/>
  <c r="C46" i="27" s="1"/>
  <c r="P45" i="27"/>
  <c r="C45" i="27" s="1"/>
  <c r="C44" i="27"/>
  <c r="C43" i="27"/>
  <c r="C42" i="27"/>
  <c r="C41" i="27"/>
  <c r="R40" i="27"/>
  <c r="Q40" i="27"/>
  <c r="F40" i="27"/>
  <c r="E40" i="27" s="1"/>
  <c r="C40" i="27" s="1"/>
  <c r="R39" i="27"/>
  <c r="Q39" i="27"/>
  <c r="K39" i="27"/>
  <c r="G39" i="27"/>
  <c r="E39" i="27" s="1"/>
  <c r="C39" i="27" s="1"/>
  <c r="R38" i="27"/>
  <c r="Q38" i="27"/>
  <c r="G38" i="27"/>
  <c r="E38" i="27" s="1"/>
  <c r="R37" i="27"/>
  <c r="Q37" i="27"/>
  <c r="E37" i="27"/>
  <c r="C37" i="27" s="1"/>
  <c r="R36" i="27"/>
  <c r="Q36" i="27"/>
  <c r="G36" i="27"/>
  <c r="E36" i="27" s="1"/>
  <c r="R35" i="27"/>
  <c r="Q35" i="27"/>
  <c r="G35" i="27"/>
  <c r="E35" i="27" s="1"/>
  <c r="C35" i="27" s="1"/>
  <c r="R34" i="27"/>
  <c r="Q34" i="27"/>
  <c r="L34" i="27"/>
  <c r="E34" i="27"/>
  <c r="C34" i="27" s="1"/>
  <c r="R33" i="27"/>
  <c r="Q33" i="27"/>
  <c r="E33" i="27"/>
  <c r="C33" i="27" s="1"/>
  <c r="R32" i="27"/>
  <c r="Q32" i="27"/>
  <c r="K32" i="27"/>
  <c r="G32" i="27"/>
  <c r="E32" i="27" s="1"/>
  <c r="R31" i="27"/>
  <c r="Q31" i="27"/>
  <c r="E31" i="27"/>
  <c r="C31" i="27" s="1"/>
  <c r="R30" i="27"/>
  <c r="Q30" i="27"/>
  <c r="L30" i="27"/>
  <c r="E30" i="27"/>
  <c r="C29" i="27"/>
  <c r="R28" i="27"/>
  <c r="Q28" i="27"/>
  <c r="L28" i="27"/>
  <c r="E28" i="27"/>
  <c r="C27" i="27"/>
  <c r="R26" i="27"/>
  <c r="Q26" i="27"/>
  <c r="L26" i="27"/>
  <c r="H26" i="27"/>
  <c r="G26" i="27"/>
  <c r="E26" i="27" s="1"/>
  <c r="C26" i="27" s="1"/>
  <c r="R25" i="27"/>
  <c r="Q25" i="27"/>
  <c r="K25" i="27"/>
  <c r="E25" i="27"/>
  <c r="C24" i="27"/>
  <c r="R23" i="27"/>
  <c r="Q23" i="27"/>
  <c r="E23" i="27"/>
  <c r="R22" i="27"/>
  <c r="Q22" i="27"/>
  <c r="K22" i="27"/>
  <c r="E22" i="27"/>
  <c r="C22" i="27"/>
  <c r="R21" i="27"/>
  <c r="Q21" i="27"/>
  <c r="H21" i="27"/>
  <c r="G21" i="27"/>
  <c r="E21" i="27" s="1"/>
  <c r="C21" i="27" s="1"/>
  <c r="R20" i="27"/>
  <c r="Q20" i="27"/>
  <c r="H20" i="27"/>
  <c r="H169" i="27" s="1"/>
  <c r="E20" i="27"/>
  <c r="C19" i="27"/>
  <c r="C18" i="27"/>
  <c r="P17" i="27"/>
  <c r="C16" i="27"/>
  <c r="C15" i="27"/>
  <c r="R14" i="27"/>
  <c r="Q14" i="27"/>
  <c r="G14" i="27"/>
  <c r="F14" i="27"/>
  <c r="R13" i="27"/>
  <c r="Q13" i="27"/>
  <c r="L13" i="27"/>
  <c r="E13" i="27"/>
  <c r="C13" i="27"/>
  <c r="R12" i="27"/>
  <c r="Q12" i="27"/>
  <c r="L12" i="27"/>
  <c r="E12" i="27"/>
  <c r="C12" i="27" s="1"/>
  <c r="R11" i="27"/>
  <c r="Q11" i="27"/>
  <c r="L11" i="27"/>
  <c r="E11" i="27"/>
  <c r="C11" i="27" s="1"/>
  <c r="R10" i="27"/>
  <c r="Q10" i="27"/>
  <c r="L10" i="27"/>
  <c r="E10" i="27"/>
  <c r="R9" i="27"/>
  <c r="Q9" i="27"/>
  <c r="L9" i="27"/>
  <c r="F9" i="27"/>
  <c r="E9" i="27" s="1"/>
  <c r="R169" i="27" l="1"/>
  <c r="E14" i="27"/>
  <c r="C14" i="27" s="1"/>
  <c r="C25" i="27"/>
  <c r="C30" i="27"/>
  <c r="C32" i="27"/>
  <c r="C38" i="27"/>
  <c r="C49" i="27"/>
  <c r="C52" i="27"/>
  <c r="C58" i="27"/>
  <c r="C59" i="27"/>
  <c r="C63" i="27"/>
  <c r="C64" i="27"/>
  <c r="C66" i="27"/>
  <c r="E72" i="27"/>
  <c r="C72" i="27" s="1"/>
  <c r="C74" i="27"/>
  <c r="C81" i="27"/>
  <c r="C93" i="27"/>
  <c r="C108" i="27"/>
  <c r="C121" i="27"/>
  <c r="C123" i="27"/>
  <c r="C129" i="27"/>
  <c r="C131" i="27"/>
  <c r="C133" i="27"/>
  <c r="C135" i="27"/>
  <c r="C137" i="27"/>
  <c r="L140" i="27"/>
  <c r="C141" i="27"/>
  <c r="C140" i="27"/>
  <c r="E169" i="27"/>
  <c r="F169" i="27"/>
  <c r="C10" i="27"/>
  <c r="G169" i="27"/>
  <c r="C20" i="27"/>
  <c r="C23" i="27"/>
  <c r="C28" i="27"/>
  <c r="C36" i="27"/>
  <c r="C53" i="27"/>
  <c r="C55" i="27"/>
  <c r="C57" i="27"/>
  <c r="C65" i="27"/>
  <c r="C73" i="27"/>
  <c r="C75" i="27"/>
  <c r="C77" i="27"/>
  <c r="C82" i="27"/>
  <c r="C92" i="27"/>
  <c r="C101" i="27"/>
  <c r="C104" i="27"/>
  <c r="C107" i="27"/>
  <c r="C120" i="27"/>
  <c r="C122" i="27"/>
  <c r="C124" i="27"/>
  <c r="L125" i="27"/>
  <c r="L169" i="27" s="1"/>
  <c r="C127" i="27"/>
  <c r="C130" i="27"/>
  <c r="C136" i="27"/>
  <c r="C138" i="27"/>
  <c r="C153" i="27"/>
  <c r="C9" i="27"/>
  <c r="Q169" i="27"/>
  <c r="P169" i="27"/>
  <c r="C17" i="27"/>
  <c r="K169" i="27"/>
  <c r="M169" i="27"/>
  <c r="C102" i="27"/>
  <c r="C125" i="27" l="1"/>
  <c r="C169" i="27"/>
  <c r="D137" i="26" l="1"/>
  <c r="F136" i="26"/>
  <c r="C136" i="26" s="1"/>
  <c r="F135" i="26"/>
  <c r="C135" i="26" s="1"/>
  <c r="F133" i="26"/>
  <c r="F138" i="26" s="1"/>
  <c r="D132" i="26"/>
  <c r="C132" i="26" s="1"/>
  <c r="C131" i="26"/>
  <c r="C130" i="26"/>
  <c r="C129" i="26"/>
  <c r="C128" i="26"/>
  <c r="C127" i="26"/>
  <c r="E126" i="26"/>
  <c r="E138" i="26" s="1"/>
  <c r="D126" i="26"/>
  <c r="C126" i="26" s="1"/>
  <c r="D125" i="26"/>
  <c r="C125" i="26" s="1"/>
  <c r="C124" i="26"/>
  <c r="D123" i="26"/>
  <c r="C123" i="26" s="1"/>
  <c r="C122" i="26"/>
  <c r="C121" i="26"/>
  <c r="C120" i="26"/>
  <c r="D119" i="26"/>
  <c r="C119" i="26"/>
  <c r="D118" i="26"/>
  <c r="C118" i="26"/>
  <c r="D117" i="26"/>
  <c r="C117" i="26"/>
  <c r="D116" i="26"/>
  <c r="C116" i="26"/>
  <c r="D115" i="26"/>
  <c r="C115" i="26"/>
  <c r="D114" i="26"/>
  <c r="C114" i="26"/>
  <c r="D113" i="26"/>
  <c r="C113" i="26"/>
  <c r="D112" i="26"/>
  <c r="C112" i="26"/>
  <c r="D111" i="26"/>
  <c r="C111" i="26"/>
  <c r="D110" i="26"/>
  <c r="C110" i="26"/>
  <c r="C109" i="26"/>
  <c r="C108" i="26"/>
  <c r="C107" i="26"/>
  <c r="C106" i="26"/>
  <c r="C105" i="26"/>
  <c r="C104" i="26"/>
  <c r="C103" i="26"/>
  <c r="C102" i="26"/>
  <c r="C101" i="26"/>
  <c r="C100" i="26"/>
  <c r="D99" i="26"/>
  <c r="C99" i="26"/>
  <c r="C98" i="26"/>
  <c r="C97" i="26"/>
  <c r="C96" i="26"/>
  <c r="D95" i="26"/>
  <c r="C95" i="26" s="1"/>
  <c r="D94" i="26"/>
  <c r="C94" i="26" s="1"/>
  <c r="D93" i="26"/>
  <c r="C93" i="26" s="1"/>
  <c r="C92" i="26"/>
  <c r="C91" i="26"/>
  <c r="C90" i="26"/>
  <c r="D89" i="26"/>
  <c r="C89" i="26" s="1"/>
  <c r="C88" i="26"/>
  <c r="D87" i="26"/>
  <c r="C87" i="26" s="1"/>
  <c r="D86" i="26"/>
  <c r="C86" i="26" s="1"/>
  <c r="C85" i="26"/>
  <c r="C84" i="26"/>
  <c r="C83" i="26"/>
  <c r="C82" i="26"/>
  <c r="C81" i="26"/>
  <c r="C80" i="26"/>
  <c r="C79" i="26"/>
  <c r="C78" i="26"/>
  <c r="C77" i="26"/>
  <c r="C76" i="26"/>
  <c r="C75" i="26"/>
  <c r="D74" i="26"/>
  <c r="C74" i="26" s="1"/>
  <c r="C73" i="26"/>
  <c r="C72" i="26"/>
  <c r="D71" i="26"/>
  <c r="C71" i="26" s="1"/>
  <c r="D70" i="26"/>
  <c r="C70" i="26" s="1"/>
  <c r="D69" i="26"/>
  <c r="C69" i="26" s="1"/>
  <c r="C68" i="26"/>
  <c r="C67" i="26"/>
  <c r="C66" i="26"/>
  <c r="D65" i="26"/>
  <c r="C65" i="26" s="1"/>
  <c r="C64" i="26"/>
  <c r="C63" i="26"/>
  <c r="C62" i="26"/>
  <c r="C61" i="26"/>
  <c r="C60" i="26"/>
  <c r="C59" i="26"/>
  <c r="C58" i="26"/>
  <c r="C57" i="26"/>
  <c r="C56" i="26"/>
  <c r="D55" i="26"/>
  <c r="C55" i="26" s="1"/>
  <c r="C54" i="26"/>
  <c r="C53" i="26"/>
  <c r="C52" i="26"/>
  <c r="C51" i="26"/>
  <c r="C50" i="26"/>
  <c r="D49" i="26"/>
  <c r="C49" i="26" s="1"/>
  <c r="C48" i="26"/>
  <c r="D47" i="26"/>
  <c r="C47" i="26" s="1"/>
  <c r="D46" i="26"/>
  <c r="C46" i="26" s="1"/>
  <c r="C45" i="26"/>
  <c r="D44" i="26"/>
  <c r="C44" i="26" s="1"/>
  <c r="D43" i="26"/>
  <c r="C43" i="26" s="1"/>
  <c r="D42" i="26"/>
  <c r="C42" i="26" s="1"/>
  <c r="D41" i="26"/>
  <c r="C41" i="26" s="1"/>
  <c r="D40" i="26"/>
  <c r="C40" i="26" s="1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D25" i="26"/>
  <c r="C25" i="26" s="1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D138" i="26" l="1"/>
  <c r="C133" i="26"/>
  <c r="C137" i="26"/>
  <c r="C138" i="26" s="1"/>
  <c r="L18" i="25" l="1"/>
  <c r="G18" i="25"/>
  <c r="N17" i="25"/>
  <c r="F17" i="25"/>
  <c r="E17" i="25"/>
  <c r="D17" i="25"/>
  <c r="C17" i="25"/>
  <c r="F16" i="25"/>
  <c r="E16" i="25"/>
  <c r="D16" i="25"/>
  <c r="C16" i="25"/>
  <c r="S15" i="25"/>
  <c r="R15" i="25"/>
  <c r="O15" i="25"/>
  <c r="E15" i="25"/>
  <c r="D15" i="25"/>
  <c r="S14" i="25"/>
  <c r="R14" i="25"/>
  <c r="P14" i="25"/>
  <c r="O14" i="25"/>
  <c r="D14" i="25"/>
  <c r="S13" i="25"/>
  <c r="R13" i="25"/>
  <c r="F13" i="25" s="1"/>
  <c r="Q13" i="25"/>
  <c r="O13" i="25"/>
  <c r="N13" i="25"/>
  <c r="M13" i="25"/>
  <c r="D13" i="25"/>
  <c r="S12" i="25"/>
  <c r="R12" i="25"/>
  <c r="P12" i="25"/>
  <c r="P18" i="25" s="1"/>
  <c r="O12" i="25"/>
  <c r="M12" i="25"/>
  <c r="E12" i="25" s="1"/>
  <c r="D12" i="25"/>
  <c r="H11" i="25"/>
  <c r="H18" i="25" s="1"/>
  <c r="F11" i="25"/>
  <c r="E11" i="25"/>
  <c r="J10" i="25"/>
  <c r="I10" i="25"/>
  <c r="F10" i="25"/>
  <c r="E10" i="25"/>
  <c r="T9" i="25"/>
  <c r="T18" i="25" s="1"/>
  <c r="S9" i="25"/>
  <c r="R9" i="25"/>
  <c r="Q9" i="25"/>
  <c r="Q18" i="25" s="1"/>
  <c r="E9" i="25"/>
  <c r="D9" i="25"/>
  <c r="I8" i="25"/>
  <c r="C8" i="25" s="1"/>
  <c r="F8" i="25"/>
  <c r="E8" i="25"/>
  <c r="F7" i="25"/>
  <c r="E7" i="25"/>
  <c r="D7" i="25"/>
  <c r="C7" i="25"/>
  <c r="R6" i="25"/>
  <c r="O6" i="25"/>
  <c r="K6" i="25"/>
  <c r="K18" i="25" s="1"/>
  <c r="I6" i="25"/>
  <c r="C6" i="25" s="1"/>
  <c r="F6" i="25"/>
  <c r="E6" i="25"/>
  <c r="D10" i="25" l="1"/>
  <c r="C11" i="25"/>
  <c r="F15" i="25"/>
  <c r="S18" i="25"/>
  <c r="C10" i="25"/>
  <c r="D11" i="25"/>
  <c r="C12" i="25"/>
  <c r="F14" i="25"/>
  <c r="C15" i="25"/>
  <c r="I18" i="25"/>
  <c r="O18" i="25"/>
  <c r="F9" i="25"/>
  <c r="C9" i="25"/>
  <c r="M18" i="25"/>
  <c r="J18" i="25"/>
  <c r="N18" i="25"/>
  <c r="R18" i="25"/>
  <c r="D6" i="25"/>
  <c r="D8" i="25"/>
  <c r="F12" i="25"/>
  <c r="C13" i="25"/>
  <c r="E13" i="25"/>
  <c r="C14" i="25"/>
  <c r="E14" i="25"/>
  <c r="F18" i="25" l="1"/>
  <c r="C18" i="25"/>
  <c r="E18" i="25"/>
  <c r="D18" i="25"/>
  <c r="G110" i="23" l="1"/>
  <c r="C109" i="23"/>
  <c r="E108" i="23"/>
  <c r="C108" i="23" s="1"/>
  <c r="C107" i="23"/>
  <c r="C106" i="23"/>
  <c r="C105" i="23"/>
  <c r="E104" i="23"/>
  <c r="D104" i="23"/>
  <c r="F103" i="23"/>
  <c r="E103" i="23"/>
  <c r="D103" i="23"/>
  <c r="C103" i="23" s="1"/>
  <c r="F102" i="23"/>
  <c r="C102" i="23"/>
  <c r="E101" i="23"/>
  <c r="D101" i="23"/>
  <c r="F100" i="23"/>
  <c r="C100" i="23"/>
  <c r="C99" i="23"/>
  <c r="C98" i="23"/>
  <c r="C97" i="23"/>
  <c r="E96" i="23"/>
  <c r="C96" i="23" s="1"/>
  <c r="E95" i="23"/>
  <c r="C95" i="23" s="1"/>
  <c r="E94" i="23"/>
  <c r="D94" i="23"/>
  <c r="C93" i="23"/>
  <c r="E92" i="23"/>
  <c r="C92" i="23" s="1"/>
  <c r="E91" i="23"/>
  <c r="C91" i="23" s="1"/>
  <c r="E90" i="23"/>
  <c r="C90" i="23" s="1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E76" i="23"/>
  <c r="D76" i="23"/>
  <c r="C76" i="23" s="1"/>
  <c r="F75" i="23"/>
  <c r="F110" i="23" s="1"/>
  <c r="D75" i="23"/>
  <c r="C74" i="23"/>
  <c r="C73" i="23"/>
  <c r="C72" i="23"/>
  <c r="C71" i="23"/>
  <c r="C70" i="23"/>
  <c r="E69" i="23"/>
  <c r="C69" i="23" s="1"/>
  <c r="E68" i="23"/>
  <c r="C68" i="23" s="1"/>
  <c r="E67" i="23"/>
  <c r="C67" i="23" s="1"/>
  <c r="E66" i="23"/>
  <c r="C66" i="23" s="1"/>
  <c r="C65" i="23"/>
  <c r="C64" i="23"/>
  <c r="C63" i="23"/>
  <c r="E62" i="23"/>
  <c r="C61" i="23"/>
  <c r="C60" i="23"/>
  <c r="C59" i="23"/>
  <c r="C58" i="23"/>
  <c r="C57" i="23"/>
  <c r="C56" i="23"/>
  <c r="C55" i="23"/>
  <c r="E54" i="23"/>
  <c r="C54" i="23" s="1"/>
  <c r="C53" i="23"/>
  <c r="E52" i="23"/>
  <c r="D52" i="23"/>
  <c r="C52" i="23" s="1"/>
  <c r="E51" i="23"/>
  <c r="C51" i="23" s="1"/>
  <c r="C50" i="23"/>
  <c r="C49" i="23"/>
  <c r="E48" i="23"/>
  <c r="C48" i="23" s="1"/>
  <c r="C47" i="23"/>
  <c r="C46" i="23"/>
  <c r="C45" i="23"/>
  <c r="C44" i="23"/>
  <c r="C43" i="23"/>
  <c r="E42" i="23"/>
  <c r="C42" i="23" s="1"/>
  <c r="C41" i="23"/>
  <c r="C40" i="23"/>
  <c r="C39" i="23"/>
  <c r="C38" i="23"/>
  <c r="C37" i="23"/>
  <c r="E36" i="23"/>
  <c r="C36" i="23" s="1"/>
  <c r="C35" i="23"/>
  <c r="C34" i="23"/>
  <c r="C33" i="23"/>
  <c r="C32" i="23"/>
  <c r="E31" i="23"/>
  <c r="D31" i="23"/>
  <c r="C31" i="23" s="1"/>
  <c r="C30" i="23"/>
  <c r="C29" i="23"/>
  <c r="E28" i="23"/>
  <c r="C28" i="23" s="1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E13" i="23"/>
  <c r="C13" i="23" s="1"/>
  <c r="C12" i="23"/>
  <c r="C11" i="23"/>
  <c r="C10" i="23"/>
  <c r="E9" i="23"/>
  <c r="C9" i="23" s="1"/>
  <c r="C8" i="23"/>
  <c r="C7" i="23"/>
  <c r="C62" i="23" l="1"/>
  <c r="C75" i="23"/>
  <c r="C94" i="23"/>
  <c r="D110" i="23"/>
  <c r="C101" i="23"/>
  <c r="C104" i="23"/>
  <c r="E110" i="23"/>
  <c r="C110" i="23" l="1"/>
  <c r="X74" i="21"/>
  <c r="X73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X72" i="21" s="1"/>
  <c r="X71" i="21"/>
  <c r="W70" i="21"/>
  <c r="V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X70" i="21" s="1"/>
  <c r="X69" i="21"/>
  <c r="X68" i="21"/>
  <c r="W67" i="21"/>
  <c r="V6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H66" i="21"/>
  <c r="X66" i="21" s="1"/>
  <c r="X65" i="21"/>
  <c r="X64" i="21"/>
  <c r="H63" i="21"/>
  <c r="H61" i="21" s="1"/>
  <c r="X62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G61" i="21"/>
  <c r="F61" i="21"/>
  <c r="E61" i="21"/>
  <c r="D61" i="21"/>
  <c r="C61" i="21"/>
  <c r="B61" i="21"/>
  <c r="X60" i="21"/>
  <c r="X59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V57" i="21"/>
  <c r="X57" i="21" s="1"/>
  <c r="T56" i="21"/>
  <c r="X56" i="21" s="1"/>
  <c r="X55" i="21"/>
  <c r="X54" i="21"/>
  <c r="X53" i="21"/>
  <c r="V53" i="21"/>
  <c r="V52" i="21"/>
  <c r="X52" i="21" s="1"/>
  <c r="V51" i="21"/>
  <c r="X51" i="21" s="1"/>
  <c r="X50" i="21"/>
  <c r="V49" i="21"/>
  <c r="X49" i="21" s="1"/>
  <c r="V48" i="21"/>
  <c r="X48" i="21" s="1"/>
  <c r="W47" i="21"/>
  <c r="U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X46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X44" i="21"/>
  <c r="X43" i="21"/>
  <c r="X42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X41" i="21" s="1"/>
  <c r="X40" i="21"/>
  <c r="X39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X38" i="21" s="1"/>
  <c r="G37" i="21"/>
  <c r="X37" i="21" s="1"/>
  <c r="G36" i="21"/>
  <c r="G35" i="21" s="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F35" i="21"/>
  <c r="E35" i="21"/>
  <c r="D35" i="21"/>
  <c r="C35" i="21"/>
  <c r="B35" i="21"/>
  <c r="X34" i="21"/>
  <c r="V34" i="21"/>
  <c r="V33" i="21"/>
  <c r="X33" i="21" s="1"/>
  <c r="V32" i="21"/>
  <c r="X32" i="21" s="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V30" i="21"/>
  <c r="X30" i="21" s="1"/>
  <c r="X29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X27" i="21"/>
  <c r="X26" i="21"/>
  <c r="B26" i="21"/>
  <c r="X25" i="21"/>
  <c r="X24" i="21"/>
  <c r="X23" i="21"/>
  <c r="X22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X20" i="21"/>
  <c r="X19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X18" i="21" s="1"/>
  <c r="B18" i="21"/>
  <c r="X17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X15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X14" i="21" s="1"/>
  <c r="B14" i="21"/>
  <c r="X13" i="21"/>
  <c r="X12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X10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X8" i="21"/>
  <c r="X7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X5" i="21"/>
  <c r="X4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X9" i="21" l="1"/>
  <c r="X45" i="21"/>
  <c r="X58" i="21"/>
  <c r="I75" i="21"/>
  <c r="M75" i="21"/>
  <c r="C75" i="21"/>
  <c r="K75" i="21"/>
  <c r="S75" i="21"/>
  <c r="X11" i="21"/>
  <c r="X16" i="21"/>
  <c r="E75" i="21"/>
  <c r="X67" i="21"/>
  <c r="F75" i="21"/>
  <c r="N75" i="21"/>
  <c r="P75" i="21"/>
  <c r="R75" i="21"/>
  <c r="O75" i="21"/>
  <c r="X35" i="21"/>
  <c r="X28" i="21"/>
  <c r="Q75" i="21"/>
  <c r="W75" i="21"/>
  <c r="X6" i="21"/>
  <c r="D75" i="21"/>
  <c r="J75" i="21"/>
  <c r="X3" i="21"/>
  <c r="L75" i="21"/>
  <c r="X21" i="21"/>
  <c r="X31" i="21"/>
  <c r="U75" i="21"/>
  <c r="G75" i="21"/>
  <c r="H75" i="21"/>
  <c r="X61" i="21"/>
  <c r="X36" i="21"/>
  <c r="T47" i="21"/>
  <c r="B75" i="21"/>
  <c r="X63" i="21"/>
  <c r="V47" i="21"/>
  <c r="V75" i="21" s="1"/>
  <c r="X47" i="21" l="1"/>
  <c r="T75" i="21"/>
  <c r="X75" i="21" s="1"/>
</calcChain>
</file>

<file path=xl/sharedStrings.xml><?xml version="1.0" encoding="utf-8"?>
<sst xmlns="http://schemas.openxmlformats.org/spreadsheetml/2006/main" count="930" uniqueCount="405">
  <si>
    <t>№ группы ВМП</t>
  </si>
  <si>
    <t>ГБУЗ РБ БСМП г.Уфа</t>
  </si>
  <si>
    <t>ФГБУ ВЦГПХ МЗ РФ</t>
  </si>
  <si>
    <t>ГБУЗ РБ ГБ Салават</t>
  </si>
  <si>
    <t>ГБУЗ РБ ГДКБ №17 г. Уфа</t>
  </si>
  <si>
    <t>ГБУЗ РБ ГКБ №18 г. Уфа</t>
  </si>
  <si>
    <t>ГБУЗ РБ ГКБ №21 г. Уфа</t>
  </si>
  <si>
    <t>ГБУЗ РБ КБ №1 г. Стерлитамак</t>
  </si>
  <si>
    <t>ГБУЗ РБ Месягутовская ЦРБ</t>
  </si>
  <si>
    <t>ГБУЗ РКВД №1</t>
  </si>
  <si>
    <t>ГБУЗ РКГВВ</t>
  </si>
  <si>
    <t>ГБУЗ РКЦ</t>
  </si>
  <si>
    <t>ИТОГО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</si>
  <si>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</si>
  <si>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</si>
  <si>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</si>
  <si>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</si>
  <si>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</si>
  <si>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</si>
  <si>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</si>
  <si>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</si>
  <si>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</si>
  <si>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</si>
  <si>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</si>
  <si>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</si>
  <si>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</si>
  <si>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</si>
  <si>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</si>
  <si>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</si>
  <si>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</si>
  <si>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</si>
  <si>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</si>
  <si>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</si>
  <si>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Всего</t>
  </si>
  <si>
    <t>ГБУЗ РБ ГКБ №10 г. Уфа</t>
  </si>
  <si>
    <t>ГБУЗ РБ ГКБ №13 г. Уфа</t>
  </si>
  <si>
    <t>ГБУЗ "РКПЦ" МЗ РБ</t>
  </si>
  <si>
    <t>ГБУ  "УфНИИ ГБ АН РБ"</t>
  </si>
  <si>
    <t>ООО "МД Проект 2010"</t>
  </si>
  <si>
    <t>ГБУЗ РКБ им. Г.Г.Куватова</t>
  </si>
  <si>
    <t>ГБУЗ РКОД МЗ РБ</t>
  </si>
  <si>
    <t>ГБУЗ "РДКБ"</t>
  </si>
  <si>
    <t>ФГБОУ ВО БГМУ Минздрава России</t>
  </si>
  <si>
    <t>ГБУЗ РБ РД №3 г.Уфа</t>
  </si>
  <si>
    <t>Объем и перечень видов ВМП, финансовое обеспечение которых осуществляется за счет средств ОМС, 
установленные Комиссией на 2018 год</t>
  </si>
  <si>
    <t>ООО "Медсервис" г. Салават</t>
  </si>
  <si>
    <t>Медицинская помощь, оказываемая в круглосуточных стационарах на 2018 год.</t>
  </si>
  <si>
    <t>(случаи госпитализации)</t>
  </si>
  <si>
    <t>№ п/п</t>
  </si>
  <si>
    <t>Наименование медицинской организации</t>
  </si>
  <si>
    <t>Всего в рамках программы ОМС</t>
  </si>
  <si>
    <t>в том числе</t>
  </si>
  <si>
    <t>ВМП</t>
  </si>
  <si>
    <t>ОМС (базовая)</t>
  </si>
  <si>
    <t xml:space="preserve">в том числе </t>
  </si>
  <si>
    <t>в том числе медицинская реабилитация</t>
  </si>
  <si>
    <t>гемодиализ (услуги)</t>
  </si>
  <si>
    <t>ГБУЗ РБ Белебеевская ЦРБ</t>
  </si>
  <si>
    <t>ГБУЗ РБ Давлекановская ЦРБ</t>
  </si>
  <si>
    <t>ГБУЗ РБ Бижбулякская ЦРБ</t>
  </si>
  <si>
    <t>ГБУЗ РБ Ермекеевская ЦРБ</t>
  </si>
  <si>
    <t>ГБУЗ РБ Миякинская ЦРБ</t>
  </si>
  <si>
    <t>ГБУЗ РБ Раевская ЦРБ</t>
  </si>
  <si>
    <t>ГБУЗ РБ Белорецкая ЦРКБ</t>
  </si>
  <si>
    <t>ГАУЗ РБ Учалинская ЦГБ</t>
  </si>
  <si>
    <t>ГБУЗ РБ Аскаровская ЦРБ</t>
  </si>
  <si>
    <t>ГБУЗ РБ Бурзянская ЦРБ</t>
  </si>
  <si>
    <t>ФГБУЗ МСЧ № 142 ФМБА России</t>
  </si>
  <si>
    <t>ГБУЗ РБ Бирская ЦРБ</t>
  </si>
  <si>
    <t>ГБУЗ РБ Дюртюлинская ЦРБ</t>
  </si>
  <si>
    <t>ГБУЗ РБ ГБ г. Нефтекамск</t>
  </si>
  <si>
    <t>Обособленное структурное подразделение ГБУЗ РБ ГБ г. Нефтекамск, ранее именуемое ГБУЗ РБ Агидельская ГБ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</si>
  <si>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</si>
  <si>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</si>
  <si>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</si>
  <si>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</si>
  <si>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</si>
  <si>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</si>
  <si>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</si>
  <si>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</si>
  <si>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</si>
  <si>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ГБУЗ РБ Белокатайская ЦРБ</t>
  </si>
  <si>
    <t>ГБУЗ РБ Большеустьикинская ЦРБ</t>
  </si>
  <si>
    <t>ГБУЗ РБ Кигинская ЦРБ</t>
  </si>
  <si>
    <t>ГБУЗ РБ Малоязовская ЦРБ</t>
  </si>
  <si>
    <t>ГБУЗ РБ ЦГБ г. Сибай</t>
  </si>
  <si>
    <t>ГБУЗ РБ Баймакская ЦГБ</t>
  </si>
  <si>
    <t>ГБУЗ РБ Акъярская ЦРБ</t>
  </si>
  <si>
    <t>ГБУЗ РБ Зилаирская ЦРБ</t>
  </si>
  <si>
    <t>ГБУЗ РБ КБ № 1 г. Стерлитамак</t>
  </si>
  <si>
    <t>ГБУЗ РБ Городская больница № 2 г. Стерлитамак</t>
  </si>
  <si>
    <t xml:space="preserve">ГБУЗ РБ ГБ № 3 г. Стерлитамак 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</si>
  <si>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</si>
  <si>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</si>
  <si>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ГБУЗ РБ Городская инфекционная больница                                                                            г. Стерлитамак</t>
  </si>
  <si>
    <t>ГБУЗ РБ ДБ г. Стерлитамак</t>
  </si>
  <si>
    <t xml:space="preserve">ГАУЗ РБ КВД г. Стерлитамак </t>
  </si>
  <si>
    <t>ГБУЗ РБ Ишимбайская ЦРБ</t>
  </si>
  <si>
    <t xml:space="preserve">ГБУЗ РБ ГБ г. Кумертау </t>
  </si>
  <si>
    <t>Обособленное структурное подразделение ГБУЗ РБ ГБ г. Кумертау ранее именуемое ГБУЗ РБ Ермолаевская ЦРБ</t>
  </si>
  <si>
    <t>ГБУЗ РБ Мелеузовская ЦРБ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</si>
  <si>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</si>
  <si>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</si>
  <si>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АНО "Перинатальный центр"</t>
  </si>
  <si>
    <t>ГАУЗ РБ КВД г. Салават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</si>
  <si>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</si>
  <si>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</si>
  <si>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</si>
  <si>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</si>
  <si>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</si>
  <si>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</si>
  <si>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 xml:space="preserve">ООО "Медсервис" </t>
  </si>
  <si>
    <t>ГБУЗ РБ Туймазинская ЦРБ</t>
  </si>
  <si>
    <t>ГБУЗ РБ ГБ № 1 г. Октябрьский</t>
  </si>
  <si>
    <t>ГБУЗ РБ Бакалинская ЦРБ</t>
  </si>
  <si>
    <t>ГБУЗ РБ Верхнеяркеевская ЦРБ</t>
  </si>
  <si>
    <t>ГБУЗ РБ Шаранская ЦРБ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</si>
  <si>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</si>
  <si>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</si>
  <si>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</si>
  <si>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</si>
  <si>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</si>
  <si>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</si>
  <si>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</si>
  <si>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</si>
  <si>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ГБУЗ РБ ГКБ № 18 г. Уфа</t>
  </si>
  <si>
    <t xml:space="preserve">ГБУЗ РБ РД № 3 г. Уфа  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</si>
  <si>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</si>
  <si>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</si>
  <si>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</si>
  <si>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</si>
  <si>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</si>
  <si>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</si>
  <si>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</si>
  <si>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</si>
  <si>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</si>
  <si>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</si>
  <si>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НУЗ "Дорожный центр восстановительной медицины и реабилитации ОАО "РЖД"</t>
  </si>
  <si>
    <t>ФКУЗ «МСЧ МВД России по РБ»</t>
  </si>
  <si>
    <t>ООО "ЦМТ"</t>
  </si>
  <si>
    <t>ООО "Медицинский центр Семья"</t>
  </si>
  <si>
    <t>ГБУЗ РКОД  МЗ РБ</t>
  </si>
  <si>
    <t>ФБУН  "Уфимский НИИ медицины труда и экологии человека"</t>
  </si>
  <si>
    <t>ГБУ "УфНИИ ГБ АН РБ"</t>
  </si>
  <si>
    <t>ГАУЗ РКВД № 1</t>
  </si>
  <si>
    <t>ГБУЗ " РДКБ"</t>
  </si>
  <si>
    <t xml:space="preserve">ГБУЗ РБ ГКБ № 21 г.Уфа </t>
  </si>
  <si>
    <t>Обособленное структурное подразделение ГБУЗ РБ ГКБ № 21 г.Уфа ранее именуемое ГБУЗ РБ Уфимская ЦРП</t>
  </si>
  <si>
    <t>ГБУЗ РБ ИКБ № 4 г.Уфа</t>
  </si>
  <si>
    <t>ФГБУ "ВЦГПХ" МЗ РФ</t>
  </si>
  <si>
    <t>Резерв</t>
  </si>
  <si>
    <t>Медицинская помощь за пределами РБ</t>
  </si>
  <si>
    <t>Плановое количество сеансов заместительной почечной терапии методами гемодиализа и перитонеального диализа на 2018 год.</t>
  </si>
  <si>
    <t>(процедуры)</t>
  </si>
  <si>
    <t>Наименование медицинских организаций</t>
  </si>
  <si>
    <t>Итого</t>
  </si>
  <si>
    <t>Объемы (сеансы), в том числе</t>
  </si>
  <si>
    <t>для пациентов с ОПН в условиях круглосуточного стационара</t>
  </si>
  <si>
    <t>для пациентов с ХПН в условиях круглосуточного стационара</t>
  </si>
  <si>
    <t>для пациентов с ОПН в амбулатор-ных условиях</t>
  </si>
  <si>
    <t>для пациентов с ХПН в амбулаторных условиях</t>
  </si>
  <si>
    <t>для пациентов с ХПН в условиях дневного стационара</t>
  </si>
  <si>
    <t>в условиях круглосуточного стационара</t>
  </si>
  <si>
    <t>в  АПУ</t>
  </si>
  <si>
    <t>в условиях дневного  стационара</t>
  </si>
  <si>
    <t>гемодиализ интермитти-рующий низкопо-точный (А18.05.002; А18.05.002.002)</t>
  </si>
  <si>
    <t>гемодиализ интермит-тирующий высоко-поточный (А18.05.002.001)</t>
  </si>
  <si>
    <t>услуги диализа, оказываемые в отделениях фильтрации</t>
  </si>
  <si>
    <t>гемодиализ интермит-тирующий высокопоточный (А18.05.002.001)</t>
  </si>
  <si>
    <t>гемодиа-фильтрация (А18.05.011)</t>
  </si>
  <si>
    <t>перитонеаль-ный диализ      при  нарушении ультрафиль-трации (А18.30.001.003)</t>
  </si>
  <si>
    <t>гемофильтрация крови продленная (А18.05.003.001)</t>
  </si>
  <si>
    <t>селективная гемосорбция липополи-сахаридов  (А18.05.006.001)</t>
  </si>
  <si>
    <t>ГБУЗ РКБ им. Г.Г. Куватова</t>
  </si>
  <si>
    <t>ГБУЗ РБ ГБ г.Нефтекамск</t>
  </si>
  <si>
    <t>ГБУЗ РДКБ</t>
  </si>
  <si>
    <t>ГБУЗ РБ БСМП  г. Уфа</t>
  </si>
  <si>
    <t>ГБУЗ РБ КБ №1 г.Стерлитамак</t>
  </si>
  <si>
    <t>ООО "Лаборатория Гемодиализа"</t>
  </si>
  <si>
    <t>ООО "Экома"</t>
  </si>
  <si>
    <t>АО "Медторгсервис"</t>
  </si>
  <si>
    <t>ООО "Сфера Эстейт"</t>
  </si>
  <si>
    <t>ООО "Медицинский Центр "Агидель"</t>
  </si>
  <si>
    <t>Прирост регистра пациентов (10%)</t>
  </si>
  <si>
    <t>Медицинская помощь, оказываемая в условиях дневных стационаров всех типов,                                                              на 2018 год.</t>
  </si>
  <si>
    <t>(случай лечения)</t>
  </si>
  <si>
    <t xml:space="preserve">В дневных стационарах всех типов </t>
  </si>
  <si>
    <t>Всего ОМС</t>
  </si>
  <si>
    <t xml:space="preserve">В рамках базовой программы ОМС </t>
  </si>
  <si>
    <t>в том числе ЭКО для   каждого   этапа*</t>
  </si>
  <si>
    <t>В рамках  сверхбазовой программы ОМС  Кибер-нож</t>
  </si>
  <si>
    <t>ГБУЗ РБ Городская инфекционная больница г. Стерлитамак</t>
  </si>
  <si>
    <t>НУЗ "Узловая больница на ст. Стерлитамак ОАО "РЖД"</t>
  </si>
  <si>
    <t>ГАУЗ РБ "Санаторий для детей НУР г. Стерлитамак"</t>
  </si>
  <si>
    <t>Обособленное структурное подразделение ГБУЗ РБ ГБ г. Кумертау  ранее именуемое ГБУЗ РБ Ермолаевская ЦРБ</t>
  </si>
  <si>
    <t>ООО "Медсервис"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</si>
  <si>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</si>
  <si>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</si>
  <si>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</si>
  <si>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</si>
  <si>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r>
      <t xml:space="preserve">ГБУЗ РБ </t>
    </r>
    <r>
      <rPr>
        <sz val="10"/>
        <color theme="1"/>
        <rFont val="Times New Roman"/>
        <family val="1"/>
        <charset val="204"/>
      </rPr>
      <t>Детская поликлиника № 6 г. Уфа</t>
    </r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</si>
  <si>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</si>
  <si>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</si>
  <si>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</si>
  <si>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</si>
  <si>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</si>
  <si>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</si>
  <si>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</si>
  <si>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</si>
  <si>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</si>
  <si>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</si>
  <si>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</si>
  <si>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УФИЦ РАН</t>
  </si>
  <si>
    <t xml:space="preserve">АО "Медторгсервис" </t>
  </si>
  <si>
    <r>
      <t>ООО "АНЭКО</t>
    </r>
    <r>
      <rPr>
        <b/>
        <sz val="10"/>
        <color rgb="FF000000"/>
        <rFont val="Times New Roman"/>
        <family val="1"/>
        <charset val="204"/>
      </rPr>
      <t>"*</t>
    </r>
  </si>
  <si>
    <t>ООО "Клиника глазных болезней"</t>
  </si>
  <si>
    <t>ООО "Лаборатория гемодиализа"</t>
  </si>
  <si>
    <r>
      <t>ООО "МД Проект 2010"</t>
    </r>
    <r>
      <rPr>
        <b/>
        <sz val="10"/>
        <color rgb="FF000000"/>
        <rFont val="Times New Roman"/>
        <family val="1"/>
        <charset val="204"/>
      </rPr>
      <t>*</t>
    </r>
  </si>
  <si>
    <t>ООО "МЦ Семья"</t>
  </si>
  <si>
    <t>ООО "Сфера-Эстейт"</t>
  </si>
  <si>
    <r>
      <t>ООО "ЦМТ</t>
    </r>
    <r>
      <rPr>
        <b/>
        <sz val="10"/>
        <color rgb="FF000000"/>
        <rFont val="Times New Roman"/>
        <family val="1"/>
        <charset val="204"/>
      </rPr>
      <t>"*</t>
    </r>
  </si>
  <si>
    <t>ГБУЗ РКБ им.Г.Г. Куватова</t>
  </si>
  <si>
    <t xml:space="preserve">ГБУЗ "РДКБ" </t>
  </si>
  <si>
    <r>
      <t>ГБУЗ "РКПЦ" МЗ РБ</t>
    </r>
    <r>
      <rPr>
        <b/>
        <sz val="10"/>
        <color rgb="FF000000"/>
        <rFont val="Times New Roman"/>
        <family val="1"/>
        <charset val="204"/>
      </rPr>
      <t>*</t>
    </r>
  </si>
  <si>
    <t>ГБУЗ РМГЦ</t>
  </si>
  <si>
    <t>ГАУЗ РВФД</t>
  </si>
  <si>
    <t xml:space="preserve">ГБУЗ РБ ГКБ № 21 г. Уфа </t>
  </si>
  <si>
    <t>Обособленное структурное подразделение ГБУЗ РБ ГКБ № 21 г. Уфа ранее именуемое ГБУЗ РБ Уфимская ЦРП</t>
  </si>
  <si>
    <t>ГБУЗ РБ ИКБ № 4 г. Уфа</t>
  </si>
  <si>
    <t>ООО "ПЭТ-Технолоджи" (КТ/ПЭТ исследования),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</si>
  <si>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</si>
  <si>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</si>
  <si>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</si>
  <si>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Амбулаторно-поликлиническая помощь в части посещений с профилактической целью на 2018 год.</t>
  </si>
  <si>
    <t>ВСЕГО</t>
  </si>
  <si>
    <t>Центр здоровья</t>
  </si>
  <si>
    <t xml:space="preserve">Диспансеризация взрослого населения </t>
  </si>
  <si>
    <t xml:space="preserve"> Диспансе-ризация детей- сирот</t>
  </si>
  <si>
    <t xml:space="preserve">Профилак-тический медосмотр взрослых </t>
  </si>
  <si>
    <t xml:space="preserve">Профилак-тический медосмотр несовершен-нолетних </t>
  </si>
  <si>
    <t>Гериатрия</t>
  </si>
  <si>
    <t>Консуль-тативные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</si>
  <si>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</si>
  <si>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</si>
  <si>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>1 этап (терапевт)</t>
  </si>
  <si>
    <t>2 этап</t>
  </si>
  <si>
    <t>первичный прием</t>
  </si>
  <si>
    <t>повторная консуль-тация</t>
  </si>
  <si>
    <t>финансиру-емые по реестрам</t>
  </si>
  <si>
    <t>финансиру-емые по подушевому принципу</t>
  </si>
  <si>
    <t xml:space="preserve"> периодичностью 1 раз в 3 года</t>
  </si>
  <si>
    <t xml:space="preserve"> периодичностью 1 раз в 2 года</t>
  </si>
  <si>
    <t>ООО "Академия здоровья"</t>
  </si>
  <si>
    <t>ООО "Дентал Стандарт"</t>
  </si>
  <si>
    <t>ООО "Зубы и зубки"</t>
  </si>
  <si>
    <t>ООО "Радуга"</t>
  </si>
  <si>
    <t>ООО "Центр здоровья и красоты"</t>
  </si>
  <si>
    <t>ООО "Мой доктор"</t>
  </si>
  <si>
    <t>ГБУЗ РБ Бирская стоматологическая поликлиника</t>
  </si>
  <si>
    <t>ГАУЗ РБ СП Дюртюлинского района</t>
  </si>
  <si>
    <t>ООО  «Белый Жемчуг»</t>
  </si>
  <si>
    <t>ООО  «Ваша стоматология»</t>
  </si>
  <si>
    <t>ООО "ВИП"</t>
  </si>
  <si>
    <t>ООО "ВИТАЛ"</t>
  </si>
  <si>
    <t>ООО "Галия"</t>
  </si>
  <si>
    <t>ООО "ПМЦ "Династия"</t>
  </si>
  <si>
    <t>ООО «Корона+»</t>
  </si>
  <si>
    <t>ООО "ЭнжеДент"</t>
  </si>
  <si>
    <t>ООО Стоматологическая клиника "ПАЛИТРАДЕНТ"</t>
  </si>
  <si>
    <t>ГАУЗ РБ Стоматологическая поликлиника г.Сибай</t>
  </si>
  <si>
    <t>ИП Искужин Р.Г.</t>
  </si>
  <si>
    <t>ООО "Медента"</t>
  </si>
  <si>
    <t>ГБУЗ РБ Городская больница № 2               г. Стерлитамак</t>
  </si>
  <si>
    <t>ГБУЗ РБ Городская больница № 4              г. Стерлитамак</t>
  </si>
  <si>
    <t>Обособленное структурное подразделение ГБУЗ РБ Городская больница № 4                    г. Стерлитамак ранее именуемое ГБУЗ РБ Стерлитамакская ЦРП</t>
  </si>
  <si>
    <t>ГБУЗ РБ СП г.Стерлитамак</t>
  </si>
  <si>
    <t>АНО "Перинатальный цент"</t>
  </si>
  <si>
    <t>ГБУЗ РБ Стоматологическая поликлиника г.Салават</t>
  </si>
  <si>
    <t>ГБУ РБ Стоматологическая поликлиника г.Октябрьский</t>
  </si>
  <si>
    <r>
      <t xml:space="preserve">ГБУЗ РБ </t>
    </r>
    <r>
      <rPr>
        <sz val="9"/>
        <color theme="1"/>
        <rFont val="Times New Roman"/>
        <family val="1"/>
        <charset val="204"/>
      </rPr>
      <t>Детская поликлиника № 6 г. Уфа</t>
    </r>
  </si>
  <si>
    <t>ГАУЗ РБ Детская СП №3 г.Уфа</t>
  </si>
  <si>
    <t>ГБУЗ РБ Детская СП №7 г.Уфа</t>
  </si>
  <si>
    <t>ГБУЗ РБ СП №1 г.Уфа</t>
  </si>
  <si>
    <t>ГБУЗ РБ СП №2 г.Уфа</t>
  </si>
  <si>
    <t>ГБУЗ  РБ СП №4 г.Уфа</t>
  </si>
  <si>
    <t>ГБУЗ РБ  СП №5 г.Уфа</t>
  </si>
  <si>
    <t>ГБУЗ РБ СП №6 г.Уфа</t>
  </si>
  <si>
    <t>ГАУЗ РБ СП №8 г.Уфа</t>
  </si>
  <si>
    <t>ГАУЗ РБ СП №9 г.Уфа</t>
  </si>
  <si>
    <t>ГБУ БНИЦ по пчеловодству и апитерапии</t>
  </si>
  <si>
    <t>ФГБОУ ВО БГМУ Минздрава России (стоматология)</t>
  </si>
  <si>
    <t>ООО "Арт-Лион"</t>
  </si>
  <si>
    <t>ООО "Дантист"</t>
  </si>
  <si>
    <t>ООО "Мастер-Дент"</t>
  </si>
  <si>
    <t>ООО "Семейный доктор"</t>
  </si>
  <si>
    <t>ООО "УльтраМед"</t>
  </si>
  <si>
    <t>ООО "Эмидент"</t>
  </si>
  <si>
    <t>ООО "ЮНИСТ"</t>
  </si>
  <si>
    <t>АУЗ РСП</t>
  </si>
  <si>
    <t>Обособленное структурное подразделение ГБУЗ РБ ГКБ № 21 г. Уфа  ранее именуемое ГБУЗ РБ Уфимская ЦРП</t>
  </si>
  <si>
    <t>Амбулаторно-поликлиническая помощь в части обращений в связи с заболеваниями  и неотложной медицинской помощи на 2018 год.</t>
  </si>
  <si>
    <t>Неотложная медицинская помощь (посещение по неотложной медицинской помощи)</t>
  </si>
  <si>
    <t>в том числе посещения в травматоло-гические пункты</t>
  </si>
  <si>
    <t>Обращения в связи с заболеваниями (обращение)</t>
  </si>
  <si>
    <t>Обращения МО, имеющих прикрепленное население</t>
  </si>
  <si>
    <t>Обращения МО, не имеющих прикрепленного населения</t>
  </si>
  <si>
    <t>Обращения в онкоцен-трах</t>
  </si>
  <si>
    <r>
      <t>Обращения к нефрологу по поводу гемодиализа (перитонеаль-ного диализа</t>
    </r>
    <r>
      <rPr>
        <sz val="8"/>
        <color rgb="FF000000"/>
        <rFont val="Times New Roman"/>
        <family val="1"/>
        <charset val="204"/>
      </rPr>
      <t>)</t>
    </r>
  </si>
  <si>
    <t>ООО «Экодент»</t>
  </si>
  <si>
    <t>Обособленное структурное подразделение ГБУЗ РБ ГБ                         г. Нефтекамск, ранее именуемое ГБУЗ РБ Агидельская ГБ</t>
  </si>
  <si>
    <t>ООО ГСК</t>
  </si>
  <si>
    <t>ООО "Дента"</t>
  </si>
  <si>
    <t>ООО "Медисса"</t>
  </si>
  <si>
    <t>ГБУЗ РБ Городская больница № 2                     г. Стерлитамак</t>
  </si>
  <si>
    <t>ГБУЗ РБ Городская больница № 4                    г. Стерлитамак</t>
  </si>
  <si>
    <t>Обособленное структурное подразделение ГБУЗ РБ Городская больница № 4  г. Стерлитамак ранее именуемое ГБУЗ РБ Стерлитамакская ЦРП</t>
  </si>
  <si>
    <t>ООО СП "Берёзка"</t>
  </si>
  <si>
    <t>ООО "ММОЦ"</t>
  </si>
  <si>
    <t>ООО "Медсервис" с.Верхнеяркеево</t>
  </si>
  <si>
    <t>ООО "МЦ "Агидель"</t>
  </si>
  <si>
    <t>ООО "ДЭНТА"</t>
  </si>
  <si>
    <t>ООО "Клиника Авиценна"</t>
  </si>
  <si>
    <t>ООО "МД Проект 2010""</t>
  </si>
  <si>
    <t>ООО "Медхелп"</t>
  </si>
  <si>
    <t xml:space="preserve">ООО "Экома" </t>
  </si>
  <si>
    <t xml:space="preserve">Объемы по лечебно-диагностическим исследоваиням, оказываемым в амбулаторно-поликлинических условиях в Республике Башкортостан в 2018 г.                                                                                                                  </t>
  </si>
  <si>
    <t>(услуги)</t>
  </si>
  <si>
    <t>Наименование учреждения здравоохранения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</si>
  <si>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</si>
  <si>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</si>
  <si>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</si>
  <si>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</si>
  <si>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Компьютерная томография в центре ПЭТ</t>
  </si>
  <si>
    <t>без К</t>
  </si>
  <si>
    <t>с К</t>
  </si>
  <si>
    <t>с К  и исп. АИ</t>
  </si>
  <si>
    <t>сцинти-графия</t>
  </si>
  <si>
    <t xml:space="preserve">рено-графия </t>
  </si>
  <si>
    <t>ГАУЗ РБ Учалинская ЦРБ</t>
  </si>
  <si>
    <t>ГБУЗ РБ ГБ города Кумертау</t>
  </si>
  <si>
    <t>ГБУЗ РБ ГБ № 1 города Октябрьский</t>
  </si>
  <si>
    <t>ГБУЗ РБ ГБ города Салават</t>
  </si>
  <si>
    <t>ГБУЗ РБ ЦГБ города Сибай</t>
  </si>
  <si>
    <t>ГБУЗ РБ КБ № 1 города Стерлитамак</t>
  </si>
  <si>
    <t>ГБУЗ РБ ГКБ Демского района г. Уфа</t>
  </si>
  <si>
    <t>ГБУЗ РБ Поликлиника №32 г. Уфа</t>
  </si>
  <si>
    <t>ГБУЗ РБ Поликлиника №43 г. Уфа</t>
  </si>
  <si>
    <t>ГБУЗ РБ Поликлиника №46 г. Уфа</t>
  </si>
  <si>
    <t>ФГБОУ ВО "БГМУ" Минздрава России</t>
  </si>
  <si>
    <t xml:space="preserve">ГБУЗ РБ ГКБ №21 г. Уфа </t>
  </si>
  <si>
    <t>ГБУЗ РБ БСМП г. Уфа</t>
  </si>
  <si>
    <t>ГБУЗ РБ ГБ города Нефтекамск</t>
  </si>
  <si>
    <t>ГБУЗ Баймакская ЦРБ</t>
  </si>
  <si>
    <t>ООО "Центр здоровья"</t>
  </si>
  <si>
    <t>ГБУЗ РБ ГБ № 3 города Стерлитамак</t>
  </si>
  <si>
    <t>ООО ПЭТ-Технолоджи</t>
  </si>
  <si>
    <t>НУЗ "Дорожный центр ВМ и Р ОАО "РЖД"</t>
  </si>
  <si>
    <t>OOO "Клиника Эксперт Уфа"</t>
  </si>
  <si>
    <t>ГБУЗ РКПЦ МЗ РБ</t>
  </si>
  <si>
    <t>Клинический госпиталь ООО "МД Проект-2010" (Мать и дитя)</t>
  </si>
  <si>
    <t xml:space="preserve">ООО Клиника МРТ-ПРОГРЕСС                                                                                 </t>
  </si>
  <si>
    <t xml:space="preserve">ООО ЛДЦ МИБС-Уфа                                                                                                      </t>
  </si>
  <si>
    <t xml:space="preserve">ООО МедТех                                                            </t>
  </si>
  <si>
    <t xml:space="preserve">Объемы на проведение УЗИ диагностики  в межрайонные кабинеты пренатальной диагностики на 2018 г.                                                                                                                  </t>
  </si>
  <si>
    <t xml:space="preserve"> УЗИ диагностики  в межрайонные кабинеты пренатальной диагностики </t>
  </si>
  <si>
    <t>1 этап</t>
  </si>
  <si>
    <t>ГБУЗ РБ ГБ № 3 г. Стерлитамак</t>
  </si>
  <si>
    <t>ГБУЗ РБ ГБ г. Кумертау</t>
  </si>
  <si>
    <t>АНО "Перинатальный центр" г. Салават</t>
  </si>
  <si>
    <t>ГБУЗ РБ РД № 3 г. Уфа</t>
  </si>
  <si>
    <t>Медицинская помощь, оказываемая в центрах здоровья, на 2018 год.</t>
  </si>
  <si>
    <t>(посещение)</t>
  </si>
  <si>
    <t>Взрослое население</t>
  </si>
  <si>
    <t>Детское население</t>
  </si>
  <si>
    <t>первичное посещение</t>
  </si>
  <si>
    <t>динамическое наблюдение (комплексное)</t>
  </si>
  <si>
    <t>комплексное посещение</t>
  </si>
  <si>
    <t>посещение гигиениста стоматологи-ческого</t>
  </si>
  <si>
    <t>посещение офтальмологи-ческого кабинета</t>
  </si>
  <si>
    <t>ГБУЗ РБ ГБ г.Кумертау</t>
  </si>
  <si>
    <t>ГБУЗ РБ ГБ г.Салават</t>
  </si>
  <si>
    <t>ГБУЗ РБ ЦГБ г.Сибай</t>
  </si>
  <si>
    <t>ГБУЗ РБ Городская больница №2 г.Стерлитамак</t>
  </si>
  <si>
    <t>ГБУЗ РБ ДБ г.Стерлитамак</t>
  </si>
  <si>
    <t>ГБУЗ РБ ГБ №1 г.Октябрьский</t>
  </si>
  <si>
    <t>ГБУЗ РБ Детская поликлиника №5 г.Уфа</t>
  </si>
  <si>
    <t>ГБУЗ РБ Поликлиника №2 г.Уфа</t>
  </si>
  <si>
    <t>ГБУЗ РБ Поликлиника №38 г.Уфа</t>
  </si>
  <si>
    <t>ГБУЗ РБ Поликлиника №46 г.Уфа</t>
  </si>
  <si>
    <t>ГБУЗ РБ ГКБ Демского района г.Уфа</t>
  </si>
  <si>
    <t>ГБУЗ РБ ГКБ №10 г.Уфа</t>
  </si>
  <si>
    <t>ГБУЗ РБ ГДКБ №17 г.Уфа</t>
  </si>
  <si>
    <t>ГБУЗ РБ ГКБ №18 г.Уфа</t>
  </si>
  <si>
    <t>(сеансы)</t>
  </si>
  <si>
    <t>Скорая медицинская помощь на 2018 год</t>
  </si>
  <si>
    <t>(вызов)</t>
  </si>
  <si>
    <t>Сверхбазовая часть программы ОМС (психиатри-ческие бригады)</t>
  </si>
  <si>
    <t xml:space="preserve">Объемы скорой медицинской помощи в рамках базовой программы ОМС </t>
  </si>
  <si>
    <t>Фельдшер-ские</t>
  </si>
  <si>
    <t>из них с применением тромболи-тических препаратов</t>
  </si>
  <si>
    <t xml:space="preserve">Врачебные </t>
  </si>
  <si>
    <t>Специализи-рованные</t>
  </si>
  <si>
    <t>ГБУЗ РБ Станция скорой медицинской помощи г. Стерлитамак</t>
  </si>
  <si>
    <t>ГБУЗ РССМП и ЦМК</t>
  </si>
  <si>
    <t>Объемы медицинской помощи за пределами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</si>
</sst>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5" fillId="0" borderId="0"/>
    <xf numFmtId="0" fontId="17" fillId="0" borderId="0"/>
    <xf numFmtId="43" fontId="2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/>
  </cellStyleXfs>
  <cellXfs count="236">
    <xf numFmtId="0" fontId="0" fillId="0" borderId="0" xfId="0"/>
    <xf numFmtId="0" fontId="0" fillId="2" borderId="0" xfId="0" applyFill="1"/>
    <xf numFmtId="0" fontId="6" fillId="2" borderId="0" xfId="0" applyFont="1" applyFill="1"/>
    <xf numFmtId="3" fontId="8" fillId="2" borderId="2" xfId="0" applyNumberFormat="1" applyFont="1" applyFill="1" applyBorder="1" applyAlignment="1" applyProtection="1">
      <alignment horizontal="center"/>
      <protection locked="0"/>
    </xf>
    <xf numFmtId="3" fontId="9" fillId="2" borderId="2" xfId="0" applyNumberFormat="1" applyFont="1" applyFill="1" applyBorder="1" applyAlignment="1" applyProtection="1">
      <alignment horizontal="center"/>
      <protection locked="0"/>
    </xf>
    <xf numFmtId="3" fontId="8" fillId="2" borderId="2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/>
    <xf numFmtId="0" fontId="11" fillId="2" borderId="0" xfId="1" applyFont="1" applyFill="1"/>
    <xf numFmtId="0" fontId="12" fillId="2" borderId="0" xfId="1" applyFont="1" applyFill="1" applyAlignment="1">
      <alignment horizontal="center" vertical="center"/>
    </xf>
    <xf numFmtId="3" fontId="13" fillId="2" borderId="0" xfId="1" applyNumberFormat="1" applyFont="1" applyFill="1"/>
    <xf numFmtId="0" fontId="13" fillId="2" borderId="0" xfId="1" applyFont="1" applyFill="1"/>
    <xf numFmtId="3" fontId="13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3" fontId="14" fillId="2" borderId="2" xfId="1" applyNumberFormat="1" applyFont="1" applyFill="1" applyBorder="1" applyAlignment="1">
      <alignment horizontal="center" vertical="center" wrapText="1"/>
    </xf>
    <xf numFmtId="3" fontId="14" fillId="2" borderId="0" xfId="1" applyNumberFormat="1" applyFont="1" applyFill="1"/>
    <xf numFmtId="0" fontId="14" fillId="2" borderId="0" xfId="1" applyFont="1" applyFill="1"/>
    <xf numFmtId="0" fontId="14" fillId="2" borderId="2" xfId="1" applyFont="1" applyFill="1" applyBorder="1" applyAlignment="1">
      <alignment horizontal="center" vertical="center"/>
    </xf>
    <xf numFmtId="3" fontId="14" fillId="2" borderId="2" xfId="1" applyNumberFormat="1" applyFont="1" applyFill="1" applyBorder="1" applyAlignment="1">
      <alignment vertical="center"/>
    </xf>
    <xf numFmtId="3" fontId="14" fillId="2" borderId="2" xfId="1" applyNumberFormat="1" applyFont="1" applyFill="1" applyBorder="1" applyAlignment="1">
      <alignment horizontal="center" vertical="center"/>
    </xf>
    <xf numFmtId="4" fontId="16" fillId="2" borderId="2" xfId="2" applyNumberFormat="1" applyFont="1" applyFill="1" applyBorder="1" applyAlignment="1">
      <alignment horizontal="left" vertical="center" wrapText="1"/>
    </xf>
    <xf numFmtId="4" fontId="16" fillId="2" borderId="2" xfId="1" applyNumberFormat="1" applyFont="1" applyFill="1" applyBorder="1" applyAlignment="1">
      <alignment wrapText="1"/>
    </xf>
    <xf numFmtId="3" fontId="14" fillId="2" borderId="2" xfId="1" applyNumberFormat="1" applyFont="1" applyFill="1" applyBorder="1" applyAlignment="1">
      <alignment vertical="center" wrapText="1"/>
    </xf>
    <xf numFmtId="3" fontId="11" fillId="2" borderId="2" xfId="1" applyNumberFormat="1" applyFont="1" applyFill="1" applyBorder="1" applyAlignment="1">
      <alignment wrapText="1"/>
    </xf>
    <xf numFmtId="4" fontId="14" fillId="2" borderId="2" xfId="1" applyNumberFormat="1" applyFont="1" applyFill="1" applyBorder="1" applyAlignment="1">
      <alignment horizontal="left" vertical="center" wrapText="1"/>
    </xf>
    <xf numFmtId="4" fontId="14" fillId="2" borderId="2" xfId="1" applyNumberFormat="1" applyFont="1" applyFill="1" applyBorder="1" applyAlignment="1">
      <alignment wrapText="1"/>
    </xf>
    <xf numFmtId="4" fontId="14" fillId="2" borderId="2" xfId="1" applyNumberFormat="1" applyFont="1" applyFill="1" applyBorder="1" applyAlignment="1">
      <alignment horizontal="left" wrapText="1"/>
    </xf>
    <xf numFmtId="4" fontId="14" fillId="2" borderId="2" xfId="3" applyNumberFormat="1" applyFont="1" applyFill="1" applyBorder="1" applyAlignment="1">
      <alignment wrapText="1"/>
    </xf>
    <xf numFmtId="0" fontId="14" fillId="2" borderId="2" xfId="1" applyFont="1" applyFill="1" applyBorder="1" applyAlignment="1">
      <alignment vertical="center"/>
    </xf>
    <xf numFmtId="0" fontId="18" fillId="2" borderId="2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vertical="center"/>
    </xf>
    <xf numFmtId="3" fontId="18" fillId="2" borderId="2" xfId="1" applyNumberFormat="1" applyFont="1" applyFill="1" applyBorder="1" applyAlignment="1">
      <alignment horizontal="center" vertical="center"/>
    </xf>
    <xf numFmtId="0" fontId="19" fillId="2" borderId="0" xfId="1" applyFont="1" applyFill="1"/>
    <xf numFmtId="0" fontId="20" fillId="2" borderId="2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3" fontId="21" fillId="2" borderId="2" xfId="1" applyNumberFormat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>
      <alignment horizontal="center" vertical="center"/>
    </xf>
    <xf numFmtId="3" fontId="20" fillId="2" borderId="2" xfId="1" applyNumberFormat="1" applyFont="1" applyFill="1" applyBorder="1" applyAlignment="1">
      <alignment vertical="center" wrapText="1"/>
    </xf>
    <xf numFmtId="0" fontId="21" fillId="2" borderId="0" xfId="1" applyFont="1" applyFill="1"/>
    <xf numFmtId="0" fontId="23" fillId="2" borderId="0" xfId="1" applyFont="1" applyFill="1" applyAlignment="1">
      <alignment horizontal="center" vertical="center" wrapText="1"/>
    </xf>
    <xf numFmtId="0" fontId="26" fillId="2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horizontal="right"/>
    </xf>
    <xf numFmtId="0" fontId="21" fillId="2" borderId="2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vertical="center" wrapText="1"/>
    </xf>
    <xf numFmtId="3" fontId="23" fillId="2" borderId="2" xfId="1" applyNumberFormat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center"/>
    </xf>
    <xf numFmtId="3" fontId="21" fillId="2" borderId="2" xfId="1" applyNumberFormat="1" applyFont="1" applyFill="1" applyBorder="1" applyAlignment="1">
      <alignment horizontal="center" vertical="center"/>
    </xf>
    <xf numFmtId="3" fontId="21" fillId="2" borderId="2" xfId="1" applyNumberFormat="1" applyFont="1" applyFill="1" applyBorder="1" applyAlignment="1">
      <alignment vertical="center" wrapText="1"/>
    </xf>
    <xf numFmtId="3" fontId="21" fillId="2" borderId="0" xfId="1" applyNumberFormat="1" applyFont="1" applyFill="1" applyAlignment="1">
      <alignment horizontal="center"/>
    </xf>
    <xf numFmtId="3" fontId="21" fillId="2" borderId="0" xfId="1" applyNumberFormat="1" applyFont="1" applyFill="1"/>
    <xf numFmtId="3" fontId="27" fillId="2" borderId="2" xfId="1" applyNumberFormat="1" applyFont="1" applyFill="1" applyBorder="1" applyAlignment="1">
      <alignment vertical="center" wrapText="1"/>
    </xf>
    <xf numFmtId="3" fontId="23" fillId="2" borderId="2" xfId="1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vertical="center" wrapText="1"/>
    </xf>
    <xf numFmtId="3" fontId="30" fillId="2" borderId="2" xfId="1" applyNumberFormat="1" applyFont="1" applyFill="1" applyBorder="1" applyAlignment="1">
      <alignment horizontal="center" vertical="center" wrapText="1"/>
    </xf>
    <xf numFmtId="3" fontId="29" fillId="2" borderId="0" xfId="1" applyNumberFormat="1" applyFont="1" applyFill="1" applyAlignment="1">
      <alignment horizontal="center"/>
    </xf>
    <xf numFmtId="0" fontId="29" fillId="2" borderId="0" xfId="1" applyFont="1" applyFill="1"/>
    <xf numFmtId="0" fontId="5" fillId="2" borderId="0" xfId="1" applyFont="1" applyFill="1" applyAlignment="1">
      <alignment horizontal="center" vertical="center"/>
    </xf>
    <xf numFmtId="3" fontId="30" fillId="2" borderId="0" xfId="1" applyNumberFormat="1" applyFont="1" applyFill="1" applyAlignment="1">
      <alignment vertical="center"/>
    </xf>
    <xf numFmtId="3" fontId="29" fillId="2" borderId="0" xfId="1" applyNumberFormat="1" applyFont="1" applyFill="1"/>
    <xf numFmtId="3" fontId="30" fillId="2" borderId="2" xfId="1" applyNumberFormat="1" applyFont="1" applyFill="1" applyBorder="1" applyAlignment="1">
      <alignment vertical="center"/>
    </xf>
    <xf numFmtId="4" fontId="31" fillId="2" borderId="2" xfId="2" applyNumberFormat="1" applyFont="1" applyFill="1" applyBorder="1" applyAlignment="1">
      <alignment horizontal="left" vertical="center" wrapText="1"/>
    </xf>
    <xf numFmtId="3" fontId="31" fillId="2" borderId="2" xfId="1" applyNumberFormat="1" applyFont="1" applyFill="1" applyBorder="1" applyAlignment="1">
      <alignment horizontal="center" vertical="center" wrapText="1"/>
    </xf>
    <xf numFmtId="3" fontId="31" fillId="2" borderId="0" xfId="1" applyNumberFormat="1" applyFont="1" applyFill="1"/>
    <xf numFmtId="4" fontId="31" fillId="2" borderId="2" xfId="1" applyNumberFormat="1" applyFont="1" applyFill="1" applyBorder="1" applyAlignment="1">
      <alignment wrapText="1"/>
    </xf>
    <xf numFmtId="3" fontId="30" fillId="2" borderId="2" xfId="1" applyNumberFormat="1" applyFont="1" applyFill="1" applyBorder="1" applyAlignment="1">
      <alignment vertical="center" wrapText="1"/>
    </xf>
    <xf numFmtId="3" fontId="30" fillId="2" borderId="2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/>
    </xf>
    <xf numFmtId="3" fontId="31" fillId="2" borderId="2" xfId="1" applyNumberFormat="1" applyFont="1" applyFill="1" applyBorder="1" applyAlignment="1">
      <alignment horizontal="center" vertical="center"/>
    </xf>
    <xf numFmtId="3" fontId="29" fillId="2" borderId="2" xfId="1" applyNumberFormat="1" applyFont="1" applyFill="1" applyBorder="1"/>
    <xf numFmtId="3" fontId="29" fillId="2" borderId="2" xfId="1" applyNumberFormat="1" applyFont="1" applyFill="1" applyBorder="1" applyAlignment="1">
      <alignment horizontal="center"/>
    </xf>
    <xf numFmtId="3" fontId="5" fillId="2" borderId="2" xfId="1" applyNumberFormat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vertical="center"/>
    </xf>
    <xf numFmtId="0" fontId="2" fillId="2" borderId="0" xfId="1" applyFill="1"/>
    <xf numFmtId="0" fontId="32" fillId="2" borderId="0" xfId="1" applyFont="1" applyFill="1" applyAlignment="1">
      <alignment horizontal="justify" vertical="center"/>
    </xf>
    <xf numFmtId="0" fontId="33" fillId="2" borderId="0" xfId="1" applyFont="1" applyFill="1"/>
    <xf numFmtId="0" fontId="22" fillId="2" borderId="4" xfId="1" applyFont="1" applyFill="1" applyBorder="1" applyAlignment="1">
      <alignment horizontal="center" vertical="center" wrapText="1"/>
    </xf>
    <xf numFmtId="0" fontId="34" fillId="2" borderId="0" xfId="1" applyFont="1" applyFill="1"/>
    <xf numFmtId="3" fontId="20" fillId="2" borderId="2" xfId="1" applyNumberFormat="1" applyFont="1" applyFill="1" applyBorder="1" applyAlignment="1">
      <alignment vertical="center"/>
    </xf>
    <xf numFmtId="3" fontId="34" fillId="2" borderId="0" xfId="1" applyNumberFormat="1" applyFont="1" applyFill="1"/>
    <xf numFmtId="4" fontId="35" fillId="2" borderId="2" xfId="2" applyNumberFormat="1" applyFont="1" applyFill="1" applyBorder="1" applyAlignment="1">
      <alignment horizontal="left" vertical="center" wrapText="1"/>
    </xf>
    <xf numFmtId="3" fontId="35" fillId="2" borderId="2" xfId="1" applyNumberFormat="1" applyFont="1" applyFill="1" applyBorder="1" applyAlignment="1">
      <alignment horizontal="center" vertical="center"/>
    </xf>
    <xf numFmtId="3" fontId="36" fillId="2" borderId="0" xfId="1" applyNumberFormat="1" applyFont="1" applyFill="1"/>
    <xf numFmtId="4" fontId="35" fillId="2" borderId="2" xfId="1" applyNumberFormat="1" applyFont="1" applyFill="1" applyBorder="1" applyAlignment="1">
      <alignment wrapText="1"/>
    </xf>
    <xf numFmtId="3" fontId="19" fillId="2" borderId="2" xfId="1" applyNumberFormat="1" applyFont="1" applyFill="1" applyBorder="1"/>
    <xf numFmtId="3" fontId="37" fillId="2" borderId="2" xfId="1" applyNumberFormat="1" applyFont="1" applyFill="1" applyBorder="1" applyAlignment="1">
      <alignment horizontal="center"/>
    </xf>
    <xf numFmtId="3" fontId="37" fillId="2" borderId="2" xfId="1" applyNumberFormat="1" applyFont="1" applyFill="1" applyBorder="1" applyAlignment="1">
      <alignment horizontal="left"/>
    </xf>
    <xf numFmtId="3" fontId="38" fillId="2" borderId="0" xfId="1" applyNumberFormat="1" applyFont="1" applyFill="1"/>
    <xf numFmtId="3" fontId="2" fillId="2" borderId="0" xfId="1" applyNumberFormat="1" applyFill="1"/>
    <xf numFmtId="0" fontId="8" fillId="2" borderId="0" xfId="1" applyFont="1" applyFill="1"/>
    <xf numFmtId="3" fontId="22" fillId="2" borderId="2" xfId="1" applyNumberFormat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3" fontId="16" fillId="2" borderId="2" xfId="1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0" fontId="39" fillId="2" borderId="0" xfId="1" applyFont="1" applyFill="1"/>
    <xf numFmtId="3" fontId="8" fillId="2" borderId="0" xfId="1" applyNumberFormat="1" applyFont="1" applyFill="1"/>
    <xf numFmtId="0" fontId="8" fillId="2" borderId="2" xfId="1" applyFont="1" applyFill="1" applyBorder="1"/>
    <xf numFmtId="0" fontId="37" fillId="2" borderId="2" xfId="1" applyFont="1" applyFill="1" applyBorder="1" applyAlignment="1">
      <alignment horizontal="center"/>
    </xf>
    <xf numFmtId="0" fontId="37" fillId="2" borderId="2" xfId="1" applyFont="1" applyFill="1" applyBorder="1" applyAlignment="1">
      <alignment horizontal="left"/>
    </xf>
    <xf numFmtId="0" fontId="37" fillId="2" borderId="0" xfId="1" applyFont="1" applyFill="1" applyAlignment="1">
      <alignment horizontal="center"/>
    </xf>
    <xf numFmtId="0" fontId="24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1" fontId="13" fillId="2" borderId="2" xfId="5" applyNumberFormat="1" applyFont="1" applyFill="1" applyBorder="1" applyAlignment="1">
      <alignment horizontal="left" vertical="center" wrapText="1"/>
    </xf>
    <xf numFmtId="3" fontId="13" fillId="2" borderId="3" xfId="1" applyNumberFormat="1" applyFont="1" applyFill="1" applyBorder="1" applyAlignment="1">
      <alignment horizontal="right" vertical="center"/>
    </xf>
    <xf numFmtId="3" fontId="13" fillId="2" borderId="2" xfId="1" applyNumberFormat="1" applyFont="1" applyFill="1" applyBorder="1" applyAlignment="1">
      <alignment horizontal="right" vertical="center"/>
    </xf>
    <xf numFmtId="3" fontId="13" fillId="2" borderId="2" xfId="5" applyNumberFormat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right"/>
    </xf>
    <xf numFmtId="3" fontId="13" fillId="2" borderId="2" xfId="6" applyNumberFormat="1" applyFont="1" applyFill="1" applyBorder="1" applyAlignment="1">
      <alignment horizontal="left" vertical="center" wrapText="1"/>
    </xf>
    <xf numFmtId="3" fontId="13" fillId="2" borderId="7" xfId="1" applyNumberFormat="1" applyFont="1" applyFill="1" applyBorder="1" applyAlignment="1">
      <alignment horizontal="right"/>
    </xf>
    <xf numFmtId="3" fontId="13" fillId="2" borderId="7" xfId="1" applyNumberFormat="1" applyFont="1" applyFill="1" applyBorder="1" applyAlignment="1">
      <alignment horizontal="right" vertical="center"/>
    </xf>
    <xf numFmtId="0" fontId="13" fillId="2" borderId="2" xfId="1" applyFont="1" applyFill="1" applyBorder="1" applyAlignment="1">
      <alignment horizontal="left"/>
    </xf>
    <xf numFmtId="4" fontId="13" fillId="2" borderId="2" xfId="5" applyNumberFormat="1" applyFont="1" applyFill="1" applyBorder="1" applyAlignment="1">
      <alignment horizontal="left" vertical="center" wrapText="1"/>
    </xf>
    <xf numFmtId="3" fontId="40" fillId="2" borderId="2" xfId="1" applyNumberFormat="1" applyFont="1" applyFill="1" applyBorder="1" applyAlignment="1">
      <alignment horizontal="right" vertical="center"/>
    </xf>
    <xf numFmtId="3" fontId="40" fillId="2" borderId="2" xfId="5" applyNumberFormat="1" applyFont="1" applyFill="1" applyBorder="1" applyAlignment="1">
      <alignment horizontal="left" vertical="center" wrapText="1"/>
    </xf>
    <xf numFmtId="0" fontId="40" fillId="2" borderId="0" xfId="1" applyFont="1" applyFill="1"/>
    <xf numFmtId="0" fontId="41" fillId="2" borderId="0" xfId="1" applyFont="1" applyFill="1" applyAlignment="1">
      <alignment vertical="center" wrapText="1"/>
    </xf>
    <xf numFmtId="4" fontId="40" fillId="2" borderId="0" xfId="1" applyNumberFormat="1" applyFont="1" applyFill="1" applyAlignment="1">
      <alignment horizontal="right"/>
    </xf>
    <xf numFmtId="0" fontId="13" fillId="2" borderId="0" xfId="1" applyFont="1" applyFill="1" applyAlignment="1">
      <alignment horizontal="right"/>
    </xf>
    <xf numFmtId="0" fontId="43" fillId="2" borderId="0" xfId="1" applyFont="1" applyFill="1"/>
    <xf numFmtId="0" fontId="19" fillId="2" borderId="2" xfId="1" applyFont="1" applyFill="1" applyBorder="1" applyAlignment="1">
      <alignment horizontal="center" vertical="center" wrapText="1"/>
    </xf>
    <xf numFmtId="0" fontId="29" fillId="2" borderId="2" xfId="1" applyFont="1" applyFill="1" applyBorder="1"/>
    <xf numFmtId="3" fontId="29" fillId="2" borderId="2" xfId="1" applyNumberFormat="1" applyFont="1" applyFill="1" applyBorder="1" applyAlignment="1">
      <alignment horizontal="center" vertical="center"/>
    </xf>
    <xf numFmtId="0" fontId="29" fillId="2" borderId="2" xfId="1" applyFont="1" applyFill="1" applyBorder="1" applyAlignment="1">
      <alignment wrapText="1"/>
    </xf>
    <xf numFmtId="0" fontId="29" fillId="2" borderId="2" xfId="1" applyFont="1" applyFill="1" applyBorder="1" applyAlignment="1">
      <alignment vertical="center" wrapText="1"/>
    </xf>
    <xf numFmtId="0" fontId="44" fillId="2" borderId="2" xfId="1" applyFont="1" applyFill="1" applyBorder="1" applyAlignment="1">
      <alignment vertical="center"/>
    </xf>
    <xf numFmtId="3" fontId="44" fillId="2" borderId="2" xfId="1" applyNumberFormat="1" applyFont="1" applyFill="1" applyBorder="1" applyAlignment="1">
      <alignment horizontal="center" vertical="center"/>
    </xf>
    <xf numFmtId="0" fontId="44" fillId="2" borderId="0" xfId="1" applyFont="1" applyFill="1" applyAlignment="1">
      <alignment vertical="center"/>
    </xf>
    <xf numFmtId="0" fontId="8" fillId="2" borderId="0" xfId="7" applyFont="1" applyFill="1"/>
    <xf numFmtId="0" fontId="45" fillId="2" borderId="0" xfId="7" applyFont="1" applyFill="1" applyAlignment="1">
      <alignment horizontal="center" vertical="center"/>
    </xf>
    <xf numFmtId="3" fontId="8" fillId="2" borderId="0" xfId="7" applyNumberFormat="1" applyFont="1" applyFill="1" applyAlignment="1">
      <alignment horizontal="center"/>
    </xf>
    <xf numFmtId="3" fontId="46" fillId="2" borderId="0" xfId="7" applyNumberFormat="1" applyFont="1" applyFill="1" applyBorder="1" applyAlignment="1">
      <alignment horizontal="center" vertical="center" wrapText="1"/>
    </xf>
    <xf numFmtId="0" fontId="19" fillId="2" borderId="0" xfId="7" applyFont="1" applyFill="1" applyAlignment="1">
      <alignment horizontal="center" vertical="center" wrapText="1"/>
    </xf>
    <xf numFmtId="0" fontId="19" fillId="2" borderId="0" xfId="7" applyFont="1" applyFill="1" applyAlignment="1">
      <alignment horizontal="center"/>
    </xf>
    <xf numFmtId="3" fontId="20" fillId="2" borderId="2" xfId="7" applyNumberFormat="1" applyFont="1" applyFill="1" applyBorder="1" applyAlignment="1">
      <alignment horizontal="center" vertical="center" wrapText="1"/>
    </xf>
    <xf numFmtId="0" fontId="47" fillId="2" borderId="2" xfId="7" applyFont="1" applyFill="1" applyBorder="1" applyAlignment="1">
      <alignment horizontal="center" vertical="center" wrapText="1"/>
    </xf>
    <xf numFmtId="3" fontId="46" fillId="2" borderId="2" xfId="7" applyNumberFormat="1" applyFont="1" applyFill="1" applyBorder="1" applyAlignment="1">
      <alignment horizontal="center" vertical="center" wrapText="1"/>
    </xf>
    <xf numFmtId="0" fontId="8" fillId="2" borderId="0" xfId="7" applyFont="1" applyFill="1" applyAlignment="1">
      <alignment vertical="center" wrapText="1"/>
    </xf>
    <xf numFmtId="0" fontId="46" fillId="2" borderId="2" xfId="7" applyFont="1" applyFill="1" applyBorder="1" applyAlignment="1">
      <alignment horizontal="center" vertical="center" wrapText="1"/>
    </xf>
    <xf numFmtId="3" fontId="46" fillId="2" borderId="2" xfId="7" applyNumberFormat="1" applyFont="1" applyFill="1" applyBorder="1" applyAlignment="1">
      <alignment vertical="center"/>
    </xf>
    <xf numFmtId="3" fontId="46" fillId="2" borderId="2" xfId="7" applyNumberFormat="1" applyFont="1" applyFill="1" applyBorder="1" applyAlignment="1">
      <alignment horizontal="center" vertical="center"/>
    </xf>
    <xf numFmtId="3" fontId="46" fillId="2" borderId="2" xfId="7" applyNumberFormat="1" applyFont="1" applyFill="1" applyBorder="1" applyAlignment="1">
      <alignment vertical="center" wrapText="1"/>
    </xf>
    <xf numFmtId="0" fontId="48" fillId="2" borderId="2" xfId="7" applyFont="1" applyFill="1" applyBorder="1" applyAlignment="1">
      <alignment horizontal="center" vertical="center" wrapText="1"/>
    </xf>
    <xf numFmtId="3" fontId="49" fillId="2" borderId="2" xfId="7" applyNumberFormat="1" applyFont="1" applyFill="1" applyBorder="1" applyAlignment="1">
      <alignment vertical="center" wrapText="1"/>
    </xf>
    <xf numFmtId="3" fontId="48" fillId="2" borderId="2" xfId="7" applyNumberFormat="1" applyFont="1" applyFill="1" applyBorder="1" applyAlignment="1">
      <alignment horizontal="center" vertical="center"/>
    </xf>
    <xf numFmtId="3" fontId="49" fillId="2" borderId="2" xfId="7" applyNumberFormat="1" applyFont="1" applyFill="1" applyBorder="1" applyAlignment="1">
      <alignment horizontal="center" vertical="center"/>
    </xf>
    <xf numFmtId="0" fontId="50" fillId="2" borderId="0" xfId="7" applyFont="1" applyFill="1" applyAlignment="1">
      <alignment vertical="center" wrapText="1"/>
    </xf>
    <xf numFmtId="0" fontId="50" fillId="2" borderId="0" xfId="7" applyFont="1" applyFill="1"/>
    <xf numFmtId="3" fontId="8" fillId="2" borderId="2" xfId="7" applyNumberFormat="1" applyFont="1" applyFill="1" applyBorder="1" applyAlignment="1">
      <alignment horizontal="center"/>
    </xf>
    <xf numFmtId="0" fontId="51" fillId="2" borderId="2" xfId="7" applyFont="1" applyFill="1" applyBorder="1"/>
    <xf numFmtId="3" fontId="52" fillId="2" borderId="2" xfId="7" applyNumberFormat="1" applyFont="1" applyFill="1" applyBorder="1" applyAlignment="1">
      <alignment vertical="center"/>
    </xf>
    <xf numFmtId="3" fontId="52" fillId="2" borderId="2" xfId="7" applyNumberFormat="1" applyFont="1" applyFill="1" applyBorder="1" applyAlignment="1">
      <alignment horizontal="center" vertical="center"/>
    </xf>
    <xf numFmtId="0" fontId="51" fillId="2" borderId="0" xfId="7" applyFont="1" applyFill="1"/>
    <xf numFmtId="3" fontId="22" fillId="2" borderId="2" xfId="1" applyNumberFormat="1" applyFont="1" applyFill="1" applyBorder="1" applyAlignment="1">
      <alignment horizontal="right" vertical="center"/>
    </xf>
    <xf numFmtId="3" fontId="23" fillId="2" borderId="0" xfId="1" applyNumberFormat="1" applyFont="1" applyFill="1" applyBorder="1" applyAlignment="1">
      <alignment horizontal="center" vertical="center"/>
    </xf>
    <xf numFmtId="3" fontId="23" fillId="2" borderId="0" xfId="1" applyNumberFormat="1" applyFont="1" applyFill="1" applyBorder="1" applyAlignment="1">
      <alignment vertical="center" wrapText="1"/>
    </xf>
    <xf numFmtId="3" fontId="23" fillId="2" borderId="0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12" fillId="2" borderId="0" xfId="1" applyNumberFormat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  <xf numFmtId="3" fontId="13" fillId="2" borderId="4" xfId="1" applyNumberFormat="1" applyFont="1" applyFill="1" applyBorder="1" applyAlignment="1">
      <alignment horizontal="center" vertical="center" wrapText="1"/>
    </xf>
    <xf numFmtId="3" fontId="13" fillId="2" borderId="5" xfId="1" applyNumberFormat="1" applyFont="1" applyFill="1" applyBorder="1" applyAlignment="1">
      <alignment horizontal="center" vertical="center" wrapText="1"/>
    </xf>
    <xf numFmtId="3" fontId="13" fillId="2" borderId="3" xfId="1" applyNumberFormat="1" applyFont="1" applyFill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horizontal="center" vertical="center" wrapText="1"/>
    </xf>
    <xf numFmtId="0" fontId="28" fillId="2" borderId="0" xfId="1" applyFont="1" applyFill="1" applyAlignment="1">
      <alignment horizontal="center" vertical="center" wrapText="1"/>
    </xf>
    <xf numFmtId="3" fontId="29" fillId="2" borderId="1" xfId="1" applyNumberFormat="1" applyFont="1" applyFill="1" applyBorder="1" applyAlignment="1">
      <alignment horizontal="right"/>
    </xf>
    <xf numFmtId="3" fontId="30" fillId="2" borderId="2" xfId="1" applyNumberFormat="1" applyFont="1" applyFill="1" applyBorder="1" applyAlignment="1">
      <alignment horizontal="center" vertical="center" wrapText="1"/>
    </xf>
    <xf numFmtId="0" fontId="28" fillId="2" borderId="0" xfId="1" applyFont="1" applyFill="1" applyAlignment="1">
      <alignment horizontal="center" vertical="center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33" fillId="2" borderId="4" xfId="1" applyFont="1" applyFill="1" applyBorder="1" applyAlignment="1">
      <alignment horizontal="center" vertical="center" wrapText="1"/>
    </xf>
    <xf numFmtId="0" fontId="33" fillId="2" borderId="5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0" fontId="25" fillId="2" borderId="0" xfId="1" applyFont="1" applyFill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21" fillId="2" borderId="8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4" fillId="2" borderId="0" xfId="1" applyFont="1" applyFill="1" applyAlignment="1">
      <alignment vertical="center" wrapText="1"/>
    </xf>
    <xf numFmtId="0" fontId="25" fillId="2" borderId="0" xfId="1" applyFont="1" applyFill="1" applyAlignment="1">
      <alignment vertical="center" wrapText="1"/>
    </xf>
    <xf numFmtId="2" fontId="13" fillId="2" borderId="2" xfId="5" applyNumberFormat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2" fillId="2" borderId="2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/>
    </xf>
    <xf numFmtId="0" fontId="19" fillId="2" borderId="8" xfId="1" applyFont="1" applyFill="1" applyBorder="1" applyAlignment="1">
      <alignment horizontal="center"/>
    </xf>
    <xf numFmtId="0" fontId="19" fillId="2" borderId="7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 wrapText="1"/>
    </xf>
    <xf numFmtId="0" fontId="19" fillId="2" borderId="13" xfId="1" applyFont="1" applyFill="1" applyBorder="1" applyAlignment="1">
      <alignment horizontal="center" vertical="center" wrapText="1"/>
    </xf>
    <xf numFmtId="0" fontId="45" fillId="2" borderId="0" xfId="7" applyFont="1" applyFill="1" applyAlignment="1">
      <alignment horizontal="center" vertical="center"/>
    </xf>
    <xf numFmtId="0" fontId="20" fillId="2" borderId="2" xfId="7" applyFont="1" applyFill="1" applyBorder="1" applyAlignment="1">
      <alignment horizontal="center" vertical="center" wrapText="1"/>
    </xf>
    <xf numFmtId="3" fontId="20" fillId="2" borderId="2" xfId="7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6"/>
    <cellStyle name="Обычный 3" xfId="7"/>
    <cellStyle name="Обычный_17.04.2007 Свод(общий)" xfId="5"/>
    <cellStyle name="Обычный_Ежемесячный отчет 2004 г." xfId="2"/>
    <cellStyle name="Обычный_Лист1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75"/>
  <sheetViews>
    <sheetView zoomScale="90" zoomScaleNormal="90" zoomScaleSheetLayoutView="70" workbookViewId="0">
      <pane xSplit="1" ySplit="2" topLeftCell="G60" activePane="bottomRight" state="frozen"/>
      <selection pane="topRight" activeCell="E1" sqref="E1"/>
      <selection pane="bottomLeft" activeCell="A4" sqref="A4"/>
      <selection pane="bottomRight" activeCell="W66" sqref="W66"/>
    </sheetView>
  </sheetViews>
  <sheetFormatPr defaultRowHeight="15" x14ac:dyDescent="0.25"/>
  <cols>
    <col min="1" max="1" width="26.5703125" style="2" customWidth="1"/>
    <col min="2" max="2" width="8.85546875" style="1" customWidth="1"/>
    <col min="3" max="23" width="9.140625" style="1" customWidth="1"/>
    <col min="24" max="24" width="8.5703125" style="1" customWidth="1"/>
    <col min="25" max="16384" width="9.140625" style="1"/>
  </cols>
  <sheetData>
    <row r="1" spans="1:24" ht="42" customHeight="1" x14ac:dyDescent="0.25">
      <c r="A1" s="168" t="s">
        <v>44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ht="111.75" customHeight="1" x14ac:dyDescent="0.25">
      <c r="A2" s="10" t="s">
        <v>0</v>
      </c>
      <c r="B2" s="9" t="s">
        <v>1</v>
      </c>
      <c r="C2" s="9" t="s">
        <v>2</v>
      </c>
      <c r="D2" s="9" t="s">
        <v>3</v>
      </c>
      <c r="E2" s="9" t="s">
        <v>43</v>
      </c>
      <c r="F2" s="9" t="s">
        <v>34</v>
      </c>
      <c r="G2" s="9" t="s">
        <v>35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36</v>
      </c>
      <c r="N2" s="9" t="s">
        <v>37</v>
      </c>
      <c r="O2" s="9" t="s">
        <v>38</v>
      </c>
      <c r="P2" s="9" t="s">
        <v>9</v>
      </c>
      <c r="Q2" s="9" t="s">
        <v>39</v>
      </c>
      <c r="R2" s="9" t="s">
        <v>10</v>
      </c>
      <c r="S2" s="9" t="s">
        <v>40</v>
      </c>
      <c r="T2" s="9" t="s">
        <v>11</v>
      </c>
      <c r="U2" s="9" t="s">
        <v>41</v>
      </c>
      <c r="V2" s="9" t="s">
        <v>42</v>
      </c>
      <c r="W2" s="9" t="s">
        <v>45</v>
      </c>
      <c r="X2" s="9" t="s">
        <v>12</v>
      </c>
    </row>
    <row r="3" spans="1:24" x14ac:dyDescent="0.25">
      <c r="A3" s="11" t="s">
        <v>13</v>
      </c>
      <c r="B3" s="5">
        <f>B4+B5</f>
        <v>0</v>
      </c>
      <c r="C3" s="5">
        <f t="shared" ref="C3:X3" si="0">C4+C5</f>
        <v>0</v>
      </c>
      <c r="D3" s="5">
        <f t="shared" si="0"/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58</v>
      </c>
      <c r="K3" s="5">
        <f t="shared" si="0"/>
        <v>0</v>
      </c>
      <c r="L3" s="5">
        <f t="shared" si="0"/>
        <v>0</v>
      </c>
      <c r="M3" s="5">
        <f t="shared" si="0"/>
        <v>0</v>
      </c>
      <c r="N3" s="5">
        <f t="shared" si="0"/>
        <v>0</v>
      </c>
      <c r="O3" s="5">
        <f t="shared" si="0"/>
        <v>20</v>
      </c>
      <c r="P3" s="5">
        <f t="shared" si="0"/>
        <v>0</v>
      </c>
      <c r="Q3" s="5">
        <f t="shared" si="0"/>
        <v>100</v>
      </c>
      <c r="R3" s="5">
        <f t="shared" si="0"/>
        <v>0</v>
      </c>
      <c r="S3" s="5">
        <f t="shared" si="0"/>
        <v>0</v>
      </c>
      <c r="T3" s="5">
        <f t="shared" si="0"/>
        <v>0</v>
      </c>
      <c r="U3" s="5">
        <f t="shared" si="0"/>
        <v>0</v>
      </c>
      <c r="V3" s="5">
        <f t="shared" si="0"/>
        <v>40</v>
      </c>
      <c r="W3" s="5">
        <f t="shared" si="0"/>
        <v>0</v>
      </c>
      <c r="X3" s="5">
        <f t="shared" si="0"/>
        <v>218</v>
      </c>
    </row>
    <row r="4" spans="1:24" x14ac:dyDescent="0.25">
      <c r="A4" s="6">
        <v>1</v>
      </c>
      <c r="B4" s="3"/>
      <c r="C4" s="3"/>
      <c r="D4" s="4"/>
      <c r="E4" s="3"/>
      <c r="F4" s="3"/>
      <c r="G4" s="3"/>
      <c r="H4" s="3"/>
      <c r="I4" s="3"/>
      <c r="J4" s="3">
        <v>58</v>
      </c>
      <c r="K4" s="3"/>
      <c r="L4" s="3"/>
      <c r="M4" s="3"/>
      <c r="N4" s="3"/>
      <c r="O4" s="3">
        <v>18</v>
      </c>
      <c r="P4" s="3"/>
      <c r="Q4" s="3">
        <v>100</v>
      </c>
      <c r="R4" s="3"/>
      <c r="S4" s="3"/>
      <c r="T4" s="3"/>
      <c r="U4" s="3"/>
      <c r="V4" s="3">
        <v>25</v>
      </c>
      <c r="W4" s="3"/>
      <c r="X4" s="5">
        <f>B4+C4+D4+E4+F4+G4+H4+I4+J4+K4+L4+M4+N4+O4+P4+Q4+R4+S4+T4+U4+V4+W4</f>
        <v>201</v>
      </c>
    </row>
    <row r="5" spans="1:24" x14ac:dyDescent="0.25">
      <c r="A5" s="7">
        <v>2</v>
      </c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>
        <v>2</v>
      </c>
      <c r="P5" s="3"/>
      <c r="Q5" s="3"/>
      <c r="R5" s="3"/>
      <c r="S5" s="3"/>
      <c r="T5" s="3"/>
      <c r="U5" s="3"/>
      <c r="V5" s="3">
        <v>15</v>
      </c>
      <c r="W5" s="3"/>
      <c r="X5" s="5">
        <f>B5+C5+D5+E5+F5+G5+H5+I5+J5+K5+L5+M5+N5+O5+P5+Q5+R5+S5+T5+U5+V5+W5</f>
        <v>17</v>
      </c>
    </row>
    <row r="6" spans="1:24" x14ac:dyDescent="0.25">
      <c r="A6" s="11" t="s">
        <v>14</v>
      </c>
      <c r="B6" s="5">
        <f>B7+B8</f>
        <v>0</v>
      </c>
      <c r="C6" s="5">
        <f t="shared" ref="C6:W6" si="1">C7+C8</f>
        <v>0</v>
      </c>
      <c r="D6" s="5">
        <f t="shared" si="1"/>
        <v>0</v>
      </c>
      <c r="E6" s="5">
        <f t="shared" si="1"/>
        <v>100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180</v>
      </c>
      <c r="J6" s="5">
        <f t="shared" si="1"/>
        <v>49</v>
      </c>
      <c r="K6" s="5">
        <f t="shared" si="1"/>
        <v>0</v>
      </c>
      <c r="L6" s="5">
        <f t="shared" si="1"/>
        <v>0</v>
      </c>
      <c r="M6" s="5">
        <f t="shared" si="1"/>
        <v>194</v>
      </c>
      <c r="N6" s="5">
        <f t="shared" si="1"/>
        <v>0</v>
      </c>
      <c r="O6" s="5">
        <f t="shared" si="1"/>
        <v>179</v>
      </c>
      <c r="P6" s="5">
        <f t="shared" si="1"/>
        <v>0</v>
      </c>
      <c r="Q6" s="5">
        <f t="shared" si="1"/>
        <v>409</v>
      </c>
      <c r="R6" s="5">
        <f t="shared" si="1"/>
        <v>0</v>
      </c>
      <c r="S6" s="5">
        <f t="shared" si="1"/>
        <v>0</v>
      </c>
      <c r="T6" s="5">
        <f t="shared" si="1"/>
        <v>0</v>
      </c>
      <c r="U6" s="5">
        <f t="shared" si="1"/>
        <v>9</v>
      </c>
      <c r="V6" s="5">
        <f t="shared" si="1"/>
        <v>300</v>
      </c>
      <c r="W6" s="5">
        <f t="shared" si="1"/>
        <v>0</v>
      </c>
      <c r="X6" s="5">
        <f t="shared" ref="X6:X69" si="2">B6+C6+D6+E6+F6+G6+H6+I6+J6+K6+L6+M6+N6+O6+P6+Q6+R6+S6+T6+U6+V6+W6</f>
        <v>1420</v>
      </c>
    </row>
    <row r="7" spans="1:24" x14ac:dyDescent="0.25">
      <c r="A7" s="7">
        <v>3</v>
      </c>
      <c r="B7" s="3"/>
      <c r="C7" s="3"/>
      <c r="D7" s="3"/>
      <c r="E7" s="3">
        <v>100</v>
      </c>
      <c r="F7" s="3"/>
      <c r="G7" s="3">
        <v>0</v>
      </c>
      <c r="H7" s="3"/>
      <c r="I7" s="3">
        <v>120</v>
      </c>
      <c r="J7" s="3">
        <v>28</v>
      </c>
      <c r="K7" s="3"/>
      <c r="L7" s="3"/>
      <c r="M7" s="3">
        <v>91</v>
      </c>
      <c r="N7" s="3"/>
      <c r="O7" s="3">
        <v>149</v>
      </c>
      <c r="P7" s="3"/>
      <c r="Q7" s="3">
        <v>250</v>
      </c>
      <c r="R7" s="3"/>
      <c r="S7" s="3"/>
      <c r="T7" s="3"/>
      <c r="U7" s="3"/>
      <c r="V7" s="3">
        <v>300</v>
      </c>
      <c r="W7" s="3"/>
      <c r="X7" s="5">
        <f t="shared" si="2"/>
        <v>1038</v>
      </c>
    </row>
    <row r="8" spans="1:24" x14ac:dyDescent="0.25">
      <c r="A8" s="7">
        <v>4</v>
      </c>
      <c r="B8" s="3"/>
      <c r="C8" s="3"/>
      <c r="D8" s="4"/>
      <c r="E8" s="3"/>
      <c r="F8" s="3"/>
      <c r="G8" s="3">
        <v>0</v>
      </c>
      <c r="H8" s="3"/>
      <c r="I8" s="3">
        <v>60</v>
      </c>
      <c r="J8" s="3">
        <v>21</v>
      </c>
      <c r="K8" s="3"/>
      <c r="L8" s="3"/>
      <c r="M8" s="3">
        <v>103</v>
      </c>
      <c r="N8" s="3"/>
      <c r="O8" s="3">
        <v>30</v>
      </c>
      <c r="P8" s="3"/>
      <c r="Q8" s="3">
        <v>159</v>
      </c>
      <c r="R8" s="3"/>
      <c r="S8" s="3"/>
      <c r="T8" s="3"/>
      <c r="U8" s="3">
        <v>9</v>
      </c>
      <c r="V8" s="3"/>
      <c r="W8" s="3"/>
      <c r="X8" s="5">
        <f t="shared" si="2"/>
        <v>382</v>
      </c>
    </row>
    <row r="9" spans="1:24" x14ac:dyDescent="0.25">
      <c r="A9" s="11" t="s">
        <v>15</v>
      </c>
      <c r="B9" s="5">
        <f>B10</f>
        <v>0</v>
      </c>
      <c r="C9" s="5">
        <f t="shared" ref="C9:W9" si="3">C10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  <c r="I9" s="5">
        <f t="shared" si="3"/>
        <v>0</v>
      </c>
      <c r="J9" s="5">
        <f t="shared" si="3"/>
        <v>36</v>
      </c>
      <c r="K9" s="5">
        <f t="shared" si="3"/>
        <v>0</v>
      </c>
      <c r="L9" s="5">
        <f t="shared" si="3"/>
        <v>0</v>
      </c>
      <c r="M9" s="5">
        <f t="shared" si="3"/>
        <v>0</v>
      </c>
      <c r="N9" s="5">
        <f t="shared" si="3"/>
        <v>0</v>
      </c>
      <c r="O9" s="5">
        <f t="shared" si="3"/>
        <v>0</v>
      </c>
      <c r="P9" s="5">
        <f t="shared" si="3"/>
        <v>0</v>
      </c>
      <c r="Q9" s="5">
        <f t="shared" si="3"/>
        <v>50</v>
      </c>
      <c r="R9" s="5">
        <f t="shared" si="3"/>
        <v>0</v>
      </c>
      <c r="S9" s="5">
        <f t="shared" si="3"/>
        <v>0</v>
      </c>
      <c r="T9" s="5">
        <f t="shared" si="3"/>
        <v>0</v>
      </c>
      <c r="U9" s="5">
        <f t="shared" si="3"/>
        <v>40</v>
      </c>
      <c r="V9" s="5">
        <f t="shared" si="3"/>
        <v>25</v>
      </c>
      <c r="W9" s="5">
        <f t="shared" si="3"/>
        <v>0</v>
      </c>
      <c r="X9" s="5">
        <f t="shared" si="2"/>
        <v>151</v>
      </c>
    </row>
    <row r="10" spans="1:24" ht="12" customHeight="1" x14ac:dyDescent="0.25">
      <c r="A10" s="7">
        <v>5</v>
      </c>
      <c r="B10" s="3"/>
      <c r="C10" s="3"/>
      <c r="D10" s="4"/>
      <c r="E10" s="3"/>
      <c r="F10" s="3"/>
      <c r="G10" s="3"/>
      <c r="H10" s="3"/>
      <c r="I10" s="3"/>
      <c r="J10" s="3">
        <v>36</v>
      </c>
      <c r="K10" s="3"/>
      <c r="L10" s="3"/>
      <c r="M10" s="3"/>
      <c r="N10" s="3"/>
      <c r="O10" s="3"/>
      <c r="P10" s="3"/>
      <c r="Q10" s="3">
        <v>50</v>
      </c>
      <c r="R10" s="3"/>
      <c r="S10" s="3"/>
      <c r="T10" s="3"/>
      <c r="U10" s="3">
        <v>40</v>
      </c>
      <c r="V10" s="3">
        <v>25</v>
      </c>
      <c r="W10" s="3"/>
      <c r="X10" s="5">
        <f t="shared" si="2"/>
        <v>151</v>
      </c>
    </row>
    <row r="11" spans="1:24" x14ac:dyDescent="0.25">
      <c r="A11" s="11" t="s">
        <v>16</v>
      </c>
      <c r="B11" s="5">
        <f>B12+B13</f>
        <v>0</v>
      </c>
      <c r="C11" s="5">
        <f t="shared" ref="C11:W11" si="4">C12+C13</f>
        <v>0</v>
      </c>
      <c r="D11" s="5">
        <f t="shared" si="4"/>
        <v>0</v>
      </c>
      <c r="E11" s="5">
        <f t="shared" si="4"/>
        <v>0</v>
      </c>
      <c r="F11" s="5">
        <f t="shared" si="4"/>
        <v>0</v>
      </c>
      <c r="G11" s="5">
        <f t="shared" si="4"/>
        <v>10</v>
      </c>
      <c r="H11" s="5">
        <f t="shared" si="4"/>
        <v>0</v>
      </c>
      <c r="I11" s="5">
        <f t="shared" si="4"/>
        <v>0</v>
      </c>
      <c r="J11" s="5">
        <f t="shared" si="4"/>
        <v>0</v>
      </c>
      <c r="K11" s="5">
        <f t="shared" si="4"/>
        <v>0</v>
      </c>
      <c r="L11" s="5">
        <f t="shared" si="4"/>
        <v>0</v>
      </c>
      <c r="M11" s="5">
        <f t="shared" si="4"/>
        <v>0</v>
      </c>
      <c r="N11" s="5">
        <f t="shared" si="4"/>
        <v>0</v>
      </c>
      <c r="O11" s="5">
        <f t="shared" si="4"/>
        <v>0</v>
      </c>
      <c r="P11" s="5">
        <f t="shared" si="4"/>
        <v>0</v>
      </c>
      <c r="Q11" s="5">
        <f t="shared" si="4"/>
        <v>40</v>
      </c>
      <c r="R11" s="5">
        <f t="shared" si="4"/>
        <v>0</v>
      </c>
      <c r="S11" s="5">
        <f t="shared" si="4"/>
        <v>0</v>
      </c>
      <c r="T11" s="5">
        <f t="shared" si="4"/>
        <v>0</v>
      </c>
      <c r="U11" s="5">
        <f t="shared" si="4"/>
        <v>11</v>
      </c>
      <c r="V11" s="5">
        <f t="shared" si="4"/>
        <v>50</v>
      </c>
      <c r="W11" s="5">
        <f t="shared" si="4"/>
        <v>0</v>
      </c>
      <c r="X11" s="5">
        <f t="shared" si="2"/>
        <v>111</v>
      </c>
    </row>
    <row r="12" spans="1:24" x14ac:dyDescent="0.25">
      <c r="A12" s="7">
        <v>6</v>
      </c>
      <c r="B12" s="3"/>
      <c r="C12" s="3"/>
      <c r="D12" s="4"/>
      <c r="E12" s="3"/>
      <c r="F12" s="3"/>
      <c r="G12" s="3">
        <v>10</v>
      </c>
      <c r="H12" s="3"/>
      <c r="I12" s="3"/>
      <c r="J12" s="3"/>
      <c r="K12" s="3"/>
      <c r="L12" s="3"/>
      <c r="M12" s="3"/>
      <c r="N12" s="3"/>
      <c r="O12" s="3"/>
      <c r="P12" s="3"/>
      <c r="Q12" s="3">
        <v>40</v>
      </c>
      <c r="R12" s="3"/>
      <c r="S12" s="3"/>
      <c r="T12" s="3"/>
      <c r="U12" s="3">
        <v>11</v>
      </c>
      <c r="V12" s="3">
        <v>50</v>
      </c>
      <c r="W12" s="3"/>
      <c r="X12" s="5">
        <f t="shared" si="2"/>
        <v>111</v>
      </c>
    </row>
    <row r="13" spans="1:24" x14ac:dyDescent="0.25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5">
        <f t="shared" si="2"/>
        <v>0</v>
      </c>
    </row>
    <row r="14" spans="1:24" ht="30" x14ac:dyDescent="0.25">
      <c r="A14" s="11" t="s">
        <v>17</v>
      </c>
      <c r="B14" s="5">
        <f>B15</f>
        <v>0</v>
      </c>
      <c r="C14" s="5">
        <f t="shared" ref="C14:W14" si="5">C15</f>
        <v>0</v>
      </c>
      <c r="D14" s="5">
        <f t="shared" si="5"/>
        <v>0</v>
      </c>
      <c r="E14" s="5">
        <f t="shared" si="5"/>
        <v>0</v>
      </c>
      <c r="F14" s="5">
        <f t="shared" si="5"/>
        <v>0</v>
      </c>
      <c r="G14" s="5">
        <f t="shared" si="5"/>
        <v>0</v>
      </c>
      <c r="H14" s="5">
        <f t="shared" si="5"/>
        <v>0</v>
      </c>
      <c r="I14" s="5">
        <f t="shared" si="5"/>
        <v>0</v>
      </c>
      <c r="J14" s="5">
        <f t="shared" si="5"/>
        <v>0</v>
      </c>
      <c r="K14" s="5">
        <f t="shared" si="5"/>
        <v>0</v>
      </c>
      <c r="L14" s="5">
        <f t="shared" si="5"/>
        <v>0</v>
      </c>
      <c r="M14" s="5">
        <f t="shared" si="5"/>
        <v>0</v>
      </c>
      <c r="N14" s="5">
        <f t="shared" si="5"/>
        <v>0</v>
      </c>
      <c r="O14" s="5">
        <f t="shared" si="5"/>
        <v>0</v>
      </c>
      <c r="P14" s="5">
        <f t="shared" si="5"/>
        <v>0</v>
      </c>
      <c r="Q14" s="5">
        <f t="shared" si="5"/>
        <v>0</v>
      </c>
      <c r="R14" s="5">
        <f t="shared" si="5"/>
        <v>0</v>
      </c>
      <c r="S14" s="5">
        <f t="shared" si="5"/>
        <v>0</v>
      </c>
      <c r="T14" s="5">
        <f t="shared" si="5"/>
        <v>0</v>
      </c>
      <c r="U14" s="5">
        <f t="shared" si="5"/>
        <v>8</v>
      </c>
      <c r="V14" s="5">
        <f t="shared" si="5"/>
        <v>0</v>
      </c>
      <c r="W14" s="5">
        <f t="shared" si="5"/>
        <v>0</v>
      </c>
      <c r="X14" s="5">
        <f t="shared" si="2"/>
        <v>8</v>
      </c>
    </row>
    <row r="15" spans="1:24" x14ac:dyDescent="0.25">
      <c r="A15" s="7">
        <v>8</v>
      </c>
      <c r="B15" s="3"/>
      <c r="C15" s="3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8</v>
      </c>
      <c r="V15" s="3"/>
      <c r="W15" s="3"/>
      <c r="X15" s="5">
        <f t="shared" si="2"/>
        <v>8</v>
      </c>
    </row>
    <row r="16" spans="1:24" x14ac:dyDescent="0.25">
      <c r="A16" s="11" t="s">
        <v>18</v>
      </c>
      <c r="B16" s="5">
        <f t="shared" ref="B16:W16" si="6">B17</f>
        <v>0</v>
      </c>
      <c r="C16" s="5">
        <f t="shared" si="6"/>
        <v>0</v>
      </c>
      <c r="D16" s="5">
        <f t="shared" si="6"/>
        <v>0</v>
      </c>
      <c r="E16" s="5">
        <f t="shared" si="6"/>
        <v>0</v>
      </c>
      <c r="F16" s="5">
        <f t="shared" si="6"/>
        <v>0</v>
      </c>
      <c r="G16" s="5">
        <f t="shared" si="6"/>
        <v>0</v>
      </c>
      <c r="H16" s="5">
        <f t="shared" si="6"/>
        <v>0</v>
      </c>
      <c r="I16" s="5">
        <f t="shared" si="6"/>
        <v>0</v>
      </c>
      <c r="J16" s="5">
        <f t="shared" si="6"/>
        <v>0</v>
      </c>
      <c r="K16" s="5">
        <f t="shared" si="6"/>
        <v>0</v>
      </c>
      <c r="L16" s="5">
        <f t="shared" si="6"/>
        <v>0</v>
      </c>
      <c r="M16" s="5">
        <f t="shared" si="6"/>
        <v>0</v>
      </c>
      <c r="N16" s="5">
        <f t="shared" si="6"/>
        <v>0</v>
      </c>
      <c r="O16" s="5">
        <f t="shared" si="6"/>
        <v>0</v>
      </c>
      <c r="P16" s="5">
        <f t="shared" si="6"/>
        <v>52</v>
      </c>
      <c r="Q16" s="5">
        <f t="shared" si="6"/>
        <v>0</v>
      </c>
      <c r="R16" s="5">
        <f t="shared" si="6"/>
        <v>0</v>
      </c>
      <c r="S16" s="5">
        <f t="shared" si="6"/>
        <v>0</v>
      </c>
      <c r="T16" s="5">
        <f t="shared" si="6"/>
        <v>0</v>
      </c>
      <c r="U16" s="5">
        <f t="shared" si="6"/>
        <v>0</v>
      </c>
      <c r="V16" s="5">
        <f t="shared" si="6"/>
        <v>0</v>
      </c>
      <c r="W16" s="5">
        <f t="shared" si="6"/>
        <v>0</v>
      </c>
      <c r="X16" s="5">
        <f t="shared" si="2"/>
        <v>52</v>
      </c>
    </row>
    <row r="17" spans="1:24" x14ac:dyDescent="0.25">
      <c r="A17" s="7">
        <v>9</v>
      </c>
      <c r="B17" s="3"/>
      <c r="C17" s="3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52</v>
      </c>
      <c r="Q17" s="3"/>
      <c r="R17" s="3"/>
      <c r="S17" s="3"/>
      <c r="T17" s="3"/>
      <c r="U17" s="3"/>
      <c r="V17" s="3"/>
      <c r="W17" s="3"/>
      <c r="X17" s="5">
        <f t="shared" si="2"/>
        <v>52</v>
      </c>
    </row>
    <row r="18" spans="1:24" x14ac:dyDescent="0.25">
      <c r="A18" s="11" t="s">
        <v>19</v>
      </c>
      <c r="B18" s="5">
        <f>B19+B20</f>
        <v>0</v>
      </c>
      <c r="C18" s="5">
        <f t="shared" ref="C18:W18" si="7">C19+C20</f>
        <v>0</v>
      </c>
      <c r="D18" s="5">
        <f t="shared" si="7"/>
        <v>0</v>
      </c>
      <c r="E18" s="5">
        <f t="shared" si="7"/>
        <v>0</v>
      </c>
      <c r="F18" s="5">
        <f t="shared" si="7"/>
        <v>0</v>
      </c>
      <c r="G18" s="5">
        <f t="shared" si="7"/>
        <v>0</v>
      </c>
      <c r="H18" s="5">
        <f t="shared" si="7"/>
        <v>0</v>
      </c>
      <c r="I18" s="5">
        <f t="shared" si="7"/>
        <v>100</v>
      </c>
      <c r="J18" s="5">
        <f t="shared" si="7"/>
        <v>0</v>
      </c>
      <c r="K18" s="5">
        <f t="shared" si="7"/>
        <v>0</v>
      </c>
      <c r="L18" s="5">
        <f t="shared" si="7"/>
        <v>0</v>
      </c>
      <c r="M18" s="5">
        <f t="shared" si="7"/>
        <v>0</v>
      </c>
      <c r="N18" s="5">
        <f t="shared" si="7"/>
        <v>0</v>
      </c>
      <c r="O18" s="5">
        <f t="shared" si="7"/>
        <v>0</v>
      </c>
      <c r="P18" s="5">
        <f t="shared" si="7"/>
        <v>0</v>
      </c>
      <c r="Q18" s="5">
        <f t="shared" si="7"/>
        <v>0</v>
      </c>
      <c r="R18" s="5">
        <f t="shared" si="7"/>
        <v>0</v>
      </c>
      <c r="S18" s="5">
        <f t="shared" si="7"/>
        <v>0</v>
      </c>
      <c r="T18" s="5">
        <f t="shared" si="7"/>
        <v>0</v>
      </c>
      <c r="U18" s="5">
        <f t="shared" si="7"/>
        <v>0</v>
      </c>
      <c r="V18" s="5">
        <f t="shared" si="7"/>
        <v>0</v>
      </c>
      <c r="W18" s="5">
        <f t="shared" si="7"/>
        <v>0</v>
      </c>
      <c r="X18" s="5">
        <f t="shared" si="2"/>
        <v>100</v>
      </c>
    </row>
    <row r="19" spans="1:24" x14ac:dyDescent="0.25">
      <c r="A19" s="7">
        <v>10</v>
      </c>
      <c r="B19" s="3"/>
      <c r="C19" s="3"/>
      <c r="D19" s="4"/>
      <c r="E19" s="3"/>
      <c r="F19" s="3"/>
      <c r="G19" s="3"/>
      <c r="H19" s="3"/>
      <c r="I19" s="3">
        <v>90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5">
        <f t="shared" si="2"/>
        <v>90</v>
      </c>
    </row>
    <row r="20" spans="1:24" x14ac:dyDescent="0.25">
      <c r="A20" s="7">
        <v>11</v>
      </c>
      <c r="B20" s="3"/>
      <c r="C20" s="3"/>
      <c r="D20" s="4"/>
      <c r="E20" s="3"/>
      <c r="F20" s="3"/>
      <c r="G20" s="3"/>
      <c r="H20" s="3"/>
      <c r="I20" s="3">
        <v>10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5">
        <f t="shared" si="2"/>
        <v>10</v>
      </c>
    </row>
    <row r="21" spans="1:24" x14ac:dyDescent="0.25">
      <c r="A21" s="11" t="s">
        <v>20</v>
      </c>
      <c r="B21" s="11">
        <f>B22+B23+B24+B25+B26+B27</f>
        <v>88</v>
      </c>
      <c r="C21" s="11">
        <f t="shared" ref="C21:W21" si="8">C22+C23+C24+C25+C26+C27</f>
        <v>0</v>
      </c>
      <c r="D21" s="11">
        <f t="shared" si="8"/>
        <v>0</v>
      </c>
      <c r="E21" s="11">
        <f t="shared" si="8"/>
        <v>0</v>
      </c>
      <c r="F21" s="11">
        <f t="shared" si="8"/>
        <v>0</v>
      </c>
      <c r="G21" s="11">
        <f t="shared" si="8"/>
        <v>0</v>
      </c>
      <c r="H21" s="11">
        <f t="shared" si="8"/>
        <v>23</v>
      </c>
      <c r="I21" s="11">
        <f t="shared" si="8"/>
        <v>0</v>
      </c>
      <c r="J21" s="11">
        <f t="shared" si="8"/>
        <v>147</v>
      </c>
      <c r="K21" s="11">
        <f t="shared" si="8"/>
        <v>170</v>
      </c>
      <c r="L21" s="11">
        <f t="shared" si="8"/>
        <v>2</v>
      </c>
      <c r="M21" s="11">
        <f t="shared" si="8"/>
        <v>0</v>
      </c>
      <c r="N21" s="11">
        <f t="shared" si="8"/>
        <v>0</v>
      </c>
      <c r="O21" s="11">
        <f t="shared" si="8"/>
        <v>0</v>
      </c>
      <c r="P21" s="11">
        <f t="shared" si="8"/>
        <v>0</v>
      </c>
      <c r="Q21" s="11">
        <f t="shared" si="8"/>
        <v>406</v>
      </c>
      <c r="R21" s="11">
        <f t="shared" si="8"/>
        <v>0</v>
      </c>
      <c r="S21" s="11">
        <f t="shared" si="8"/>
        <v>0</v>
      </c>
      <c r="T21" s="11">
        <f t="shared" si="8"/>
        <v>0</v>
      </c>
      <c r="U21" s="11">
        <f t="shared" si="8"/>
        <v>137</v>
      </c>
      <c r="V21" s="7">
        <f t="shared" si="8"/>
        <v>50</v>
      </c>
      <c r="W21" s="7">
        <f t="shared" si="8"/>
        <v>0</v>
      </c>
      <c r="X21" s="7">
        <f t="shared" si="2"/>
        <v>1023</v>
      </c>
    </row>
    <row r="22" spans="1:24" x14ac:dyDescent="0.25">
      <c r="A22" s="7">
        <v>12</v>
      </c>
      <c r="B22" s="3">
        <v>80</v>
      </c>
      <c r="C22" s="3"/>
      <c r="D22" s="4"/>
      <c r="E22" s="4"/>
      <c r="F22" s="3"/>
      <c r="G22" s="3"/>
      <c r="H22" s="3">
        <v>6</v>
      </c>
      <c r="I22" s="3"/>
      <c r="J22" s="3">
        <v>136</v>
      </c>
      <c r="K22" s="3">
        <v>157</v>
      </c>
      <c r="L22" s="3">
        <v>1</v>
      </c>
      <c r="M22" s="3"/>
      <c r="N22" s="3"/>
      <c r="O22" s="3"/>
      <c r="P22" s="3"/>
      <c r="Q22" s="3">
        <v>376</v>
      </c>
      <c r="R22" s="3"/>
      <c r="S22" s="3"/>
      <c r="T22" s="3"/>
      <c r="U22" s="3">
        <v>82</v>
      </c>
      <c r="V22" s="3">
        <v>50</v>
      </c>
      <c r="W22" s="3"/>
      <c r="X22" s="5">
        <f t="shared" si="2"/>
        <v>888</v>
      </c>
    </row>
    <row r="23" spans="1:24" x14ac:dyDescent="0.25">
      <c r="A23" s="7">
        <v>13</v>
      </c>
      <c r="B23" s="3"/>
      <c r="C23" s="3"/>
      <c r="D23" s="3"/>
      <c r="E23" s="3"/>
      <c r="F23" s="3"/>
      <c r="G23" s="3"/>
      <c r="H23" s="3"/>
      <c r="I23" s="3"/>
      <c r="J23" s="3"/>
      <c r="K23" s="3">
        <v>3</v>
      </c>
      <c r="L23" s="3">
        <v>1</v>
      </c>
      <c r="M23" s="3"/>
      <c r="N23" s="3"/>
      <c r="O23" s="3"/>
      <c r="P23" s="3"/>
      <c r="Q23" s="3">
        <v>0</v>
      </c>
      <c r="R23" s="3"/>
      <c r="S23" s="3"/>
      <c r="T23" s="3"/>
      <c r="U23" s="3"/>
      <c r="V23" s="3"/>
      <c r="W23" s="3"/>
      <c r="X23" s="5">
        <f t="shared" si="2"/>
        <v>4</v>
      </c>
    </row>
    <row r="24" spans="1:24" x14ac:dyDescent="0.25">
      <c r="A24" s="7">
        <v>14</v>
      </c>
      <c r="B24" s="3">
        <v>3</v>
      </c>
      <c r="C24" s="3"/>
      <c r="D24" s="4"/>
      <c r="E24" s="3"/>
      <c r="F24" s="3"/>
      <c r="G24" s="3"/>
      <c r="H24" s="3"/>
      <c r="I24" s="3"/>
      <c r="J24" s="3">
        <v>7</v>
      </c>
      <c r="K24" s="3">
        <v>10</v>
      </c>
      <c r="L24" s="3"/>
      <c r="M24" s="3"/>
      <c r="N24" s="3"/>
      <c r="O24" s="3"/>
      <c r="P24" s="3"/>
      <c r="Q24" s="3">
        <v>4</v>
      </c>
      <c r="R24" s="3"/>
      <c r="S24" s="3"/>
      <c r="T24" s="3"/>
      <c r="U24" s="3"/>
      <c r="V24" s="3"/>
      <c r="W24" s="3"/>
      <c r="X24" s="5">
        <f t="shared" si="2"/>
        <v>24</v>
      </c>
    </row>
    <row r="25" spans="1:24" x14ac:dyDescent="0.25">
      <c r="A25" s="7">
        <v>15</v>
      </c>
      <c r="B25" s="3">
        <v>0</v>
      </c>
      <c r="C25" s="3"/>
      <c r="D25" s="4"/>
      <c r="E25" s="3"/>
      <c r="F25" s="3"/>
      <c r="G25" s="3"/>
      <c r="H25" s="3">
        <v>17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v>55</v>
      </c>
      <c r="V25" s="3"/>
      <c r="W25" s="3"/>
      <c r="X25" s="5">
        <f t="shared" si="2"/>
        <v>72</v>
      </c>
    </row>
    <row r="26" spans="1:24" x14ac:dyDescent="0.25">
      <c r="A26" s="7">
        <v>16</v>
      </c>
      <c r="B26" s="3">
        <f>5-5</f>
        <v>0</v>
      </c>
      <c r="C26" s="3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v>9</v>
      </c>
      <c r="R26" s="3"/>
      <c r="S26" s="3"/>
      <c r="T26" s="3"/>
      <c r="U26" s="3"/>
      <c r="V26" s="3"/>
      <c r="W26" s="3"/>
      <c r="X26" s="5">
        <f t="shared" si="2"/>
        <v>9</v>
      </c>
    </row>
    <row r="27" spans="1:24" x14ac:dyDescent="0.25">
      <c r="A27" s="7">
        <v>17</v>
      </c>
      <c r="B27" s="3">
        <v>5</v>
      </c>
      <c r="C27" s="3"/>
      <c r="D27" s="4"/>
      <c r="E27" s="3"/>
      <c r="F27" s="3"/>
      <c r="G27" s="3"/>
      <c r="H27" s="3"/>
      <c r="I27" s="3"/>
      <c r="J27" s="3">
        <v>4</v>
      </c>
      <c r="K27" s="3"/>
      <c r="L27" s="3"/>
      <c r="M27" s="3"/>
      <c r="N27" s="3"/>
      <c r="O27" s="3"/>
      <c r="P27" s="3"/>
      <c r="Q27" s="3">
        <v>17</v>
      </c>
      <c r="R27" s="3"/>
      <c r="S27" s="3"/>
      <c r="T27" s="3"/>
      <c r="U27" s="3"/>
      <c r="V27" s="3"/>
      <c r="W27" s="3"/>
      <c r="X27" s="5">
        <f t="shared" si="2"/>
        <v>26</v>
      </c>
    </row>
    <row r="28" spans="1:24" x14ac:dyDescent="0.25">
      <c r="A28" s="11" t="s">
        <v>21</v>
      </c>
      <c r="B28" s="11">
        <f>B29+B30</f>
        <v>0</v>
      </c>
      <c r="C28" s="11">
        <f t="shared" ref="C28:W28" si="9">C29+C30</f>
        <v>0</v>
      </c>
      <c r="D28" s="11">
        <f t="shared" si="9"/>
        <v>0</v>
      </c>
      <c r="E28" s="11">
        <f t="shared" si="9"/>
        <v>40</v>
      </c>
      <c r="F28" s="11">
        <f t="shared" si="9"/>
        <v>0</v>
      </c>
      <c r="G28" s="11">
        <f t="shared" si="9"/>
        <v>0</v>
      </c>
      <c r="H28" s="11">
        <f t="shared" si="9"/>
        <v>153</v>
      </c>
      <c r="I28" s="11">
        <f t="shared" si="9"/>
        <v>0</v>
      </c>
      <c r="J28" s="11">
        <f t="shared" si="9"/>
        <v>0</v>
      </c>
      <c r="K28" s="11">
        <f t="shared" si="9"/>
        <v>0</v>
      </c>
      <c r="L28" s="11">
        <f t="shared" si="9"/>
        <v>0</v>
      </c>
      <c r="M28" s="11">
        <f t="shared" si="9"/>
        <v>401</v>
      </c>
      <c r="N28" s="11">
        <f t="shared" si="9"/>
        <v>0</v>
      </c>
      <c r="O28" s="11">
        <f t="shared" si="9"/>
        <v>0</v>
      </c>
      <c r="P28" s="11">
        <f t="shared" si="9"/>
        <v>0</v>
      </c>
      <c r="Q28" s="11">
        <f t="shared" si="9"/>
        <v>236</v>
      </c>
      <c r="R28" s="11">
        <f t="shared" si="9"/>
        <v>0</v>
      </c>
      <c r="S28" s="11">
        <f t="shared" si="9"/>
        <v>0</v>
      </c>
      <c r="T28" s="11">
        <f t="shared" si="9"/>
        <v>0</v>
      </c>
      <c r="U28" s="11">
        <f t="shared" si="9"/>
        <v>198</v>
      </c>
      <c r="V28" s="7">
        <f t="shared" si="9"/>
        <v>114</v>
      </c>
      <c r="W28" s="7">
        <f t="shared" si="9"/>
        <v>0</v>
      </c>
      <c r="X28" s="7">
        <f t="shared" si="2"/>
        <v>1142</v>
      </c>
    </row>
    <row r="29" spans="1:24" x14ac:dyDescent="0.25">
      <c r="A29" s="7">
        <v>18</v>
      </c>
      <c r="B29" s="3"/>
      <c r="C29" s="3"/>
      <c r="D29" s="3"/>
      <c r="E29" s="3">
        <v>35</v>
      </c>
      <c r="F29" s="3"/>
      <c r="G29" s="3"/>
      <c r="H29" s="3">
        <v>133</v>
      </c>
      <c r="I29" s="3"/>
      <c r="J29" s="3"/>
      <c r="K29" s="3"/>
      <c r="L29" s="3"/>
      <c r="M29" s="3">
        <v>180</v>
      </c>
      <c r="N29" s="3"/>
      <c r="O29" s="3"/>
      <c r="P29" s="3"/>
      <c r="Q29" s="3">
        <v>187</v>
      </c>
      <c r="R29" s="3"/>
      <c r="S29" s="3"/>
      <c r="T29" s="3"/>
      <c r="U29" s="3">
        <v>143</v>
      </c>
      <c r="V29" s="3">
        <v>89</v>
      </c>
      <c r="W29" s="3"/>
      <c r="X29" s="5">
        <f t="shared" si="2"/>
        <v>767</v>
      </c>
    </row>
    <row r="30" spans="1:24" x14ac:dyDescent="0.25">
      <c r="A30" s="7">
        <v>19</v>
      </c>
      <c r="B30" s="3"/>
      <c r="C30" s="3"/>
      <c r="D30" s="3"/>
      <c r="E30" s="3">
        <v>5</v>
      </c>
      <c r="F30" s="3"/>
      <c r="G30" s="3"/>
      <c r="H30" s="3">
        <v>20</v>
      </c>
      <c r="I30" s="3"/>
      <c r="J30" s="3"/>
      <c r="K30" s="3"/>
      <c r="L30" s="3"/>
      <c r="M30" s="3">
        <v>221</v>
      </c>
      <c r="N30" s="3"/>
      <c r="O30" s="3"/>
      <c r="P30" s="3"/>
      <c r="Q30" s="3">
        <v>49</v>
      </c>
      <c r="R30" s="3"/>
      <c r="S30" s="3"/>
      <c r="T30" s="3"/>
      <c r="U30" s="3">
        <v>55</v>
      </c>
      <c r="V30" s="3">
        <f>15+10</f>
        <v>25</v>
      </c>
      <c r="W30" s="3"/>
      <c r="X30" s="5">
        <f t="shared" si="2"/>
        <v>375</v>
      </c>
    </row>
    <row r="31" spans="1:24" x14ac:dyDescent="0.25">
      <c r="A31" s="11" t="s">
        <v>22</v>
      </c>
      <c r="B31" s="11">
        <f>B32+B33+B34</f>
        <v>0</v>
      </c>
      <c r="C31" s="11">
        <f t="shared" ref="C31:W31" si="10">C32+C33+C34</f>
        <v>0</v>
      </c>
      <c r="D31" s="11">
        <f t="shared" si="10"/>
        <v>0</v>
      </c>
      <c r="E31" s="11">
        <f t="shared" si="10"/>
        <v>0</v>
      </c>
      <c r="F31" s="11">
        <f t="shared" si="10"/>
        <v>0</v>
      </c>
      <c r="G31" s="11">
        <f t="shared" si="10"/>
        <v>0</v>
      </c>
      <c r="H31" s="11">
        <f t="shared" si="10"/>
        <v>0</v>
      </c>
      <c r="I31" s="11">
        <f t="shared" si="10"/>
        <v>0</v>
      </c>
      <c r="J31" s="11">
        <f t="shared" si="10"/>
        <v>0</v>
      </c>
      <c r="K31" s="11">
        <f t="shared" si="10"/>
        <v>0</v>
      </c>
      <c r="L31" s="11">
        <f t="shared" si="10"/>
        <v>0</v>
      </c>
      <c r="M31" s="11">
        <f t="shared" si="10"/>
        <v>0</v>
      </c>
      <c r="N31" s="11">
        <f t="shared" si="10"/>
        <v>0</v>
      </c>
      <c r="O31" s="11">
        <f t="shared" si="10"/>
        <v>0</v>
      </c>
      <c r="P31" s="11">
        <f t="shared" si="10"/>
        <v>0</v>
      </c>
      <c r="Q31" s="11">
        <f t="shared" si="10"/>
        <v>101</v>
      </c>
      <c r="R31" s="11">
        <f t="shared" si="10"/>
        <v>0</v>
      </c>
      <c r="S31" s="11">
        <f t="shared" si="10"/>
        <v>1020</v>
      </c>
      <c r="T31" s="11">
        <f t="shared" si="10"/>
        <v>0</v>
      </c>
      <c r="U31" s="11">
        <f t="shared" si="10"/>
        <v>110</v>
      </c>
      <c r="V31" s="7">
        <f t="shared" si="10"/>
        <v>150</v>
      </c>
      <c r="W31" s="7">
        <f t="shared" si="10"/>
        <v>0</v>
      </c>
      <c r="X31" s="7">
        <f t="shared" si="2"/>
        <v>1381</v>
      </c>
    </row>
    <row r="32" spans="1:24" x14ac:dyDescent="0.25">
      <c r="A32" s="7">
        <v>20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41</v>
      </c>
      <c r="R32" s="3"/>
      <c r="S32" s="3">
        <v>780</v>
      </c>
      <c r="T32" s="3"/>
      <c r="U32" s="3">
        <v>1</v>
      </c>
      <c r="V32" s="3">
        <f>80+20</f>
        <v>100</v>
      </c>
      <c r="W32" s="3"/>
      <c r="X32" s="5">
        <f t="shared" si="2"/>
        <v>922</v>
      </c>
    </row>
    <row r="33" spans="1:24" x14ac:dyDescent="0.25">
      <c r="A33" s="7">
        <v>21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>10-10</f>
        <v>0</v>
      </c>
      <c r="W33" s="3"/>
      <c r="X33" s="5">
        <f t="shared" si="2"/>
        <v>0</v>
      </c>
    </row>
    <row r="34" spans="1:24" x14ac:dyDescent="0.25">
      <c r="A34" s="7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v>60</v>
      </c>
      <c r="R34" s="3"/>
      <c r="S34" s="3">
        <v>240</v>
      </c>
      <c r="T34" s="3"/>
      <c r="U34" s="3">
        <v>109</v>
      </c>
      <c r="V34" s="3">
        <f>70-20</f>
        <v>50</v>
      </c>
      <c r="W34" s="3"/>
      <c r="X34" s="5">
        <f t="shared" si="2"/>
        <v>459</v>
      </c>
    </row>
    <row r="35" spans="1:24" x14ac:dyDescent="0.25">
      <c r="A35" s="11" t="s">
        <v>23</v>
      </c>
      <c r="B35" s="11">
        <f>B36+B37</f>
        <v>9</v>
      </c>
      <c r="C35" s="11">
        <f t="shared" ref="C35:W35" si="11">C36+C37</f>
        <v>0</v>
      </c>
      <c r="D35" s="11">
        <f t="shared" si="11"/>
        <v>0</v>
      </c>
      <c r="E35" s="11">
        <f t="shared" si="11"/>
        <v>0</v>
      </c>
      <c r="F35" s="11">
        <f t="shared" si="11"/>
        <v>0</v>
      </c>
      <c r="G35" s="11">
        <f t="shared" si="11"/>
        <v>82</v>
      </c>
      <c r="H35" s="11">
        <f t="shared" si="11"/>
        <v>0</v>
      </c>
      <c r="I35" s="11">
        <f t="shared" si="11"/>
        <v>0</v>
      </c>
      <c r="J35" s="11">
        <f t="shared" si="11"/>
        <v>65</v>
      </c>
      <c r="K35" s="11">
        <f t="shared" si="11"/>
        <v>0</v>
      </c>
      <c r="L35" s="11">
        <f t="shared" si="11"/>
        <v>0</v>
      </c>
      <c r="M35" s="11">
        <f t="shared" si="11"/>
        <v>0</v>
      </c>
      <c r="N35" s="11">
        <f t="shared" si="11"/>
        <v>0</v>
      </c>
      <c r="O35" s="11">
        <f t="shared" si="11"/>
        <v>0</v>
      </c>
      <c r="P35" s="11">
        <f t="shared" si="11"/>
        <v>0</v>
      </c>
      <c r="Q35" s="11">
        <f t="shared" si="11"/>
        <v>132</v>
      </c>
      <c r="R35" s="11">
        <f t="shared" si="11"/>
        <v>0</v>
      </c>
      <c r="S35" s="11">
        <f t="shared" si="11"/>
        <v>0</v>
      </c>
      <c r="T35" s="11">
        <f t="shared" si="11"/>
        <v>0</v>
      </c>
      <c r="U35" s="11">
        <f t="shared" si="11"/>
        <v>50</v>
      </c>
      <c r="V35" s="7">
        <f t="shared" si="11"/>
        <v>0</v>
      </c>
      <c r="W35" s="7">
        <f t="shared" si="11"/>
        <v>0</v>
      </c>
      <c r="X35" s="7">
        <f t="shared" si="2"/>
        <v>338</v>
      </c>
    </row>
    <row r="36" spans="1:24" x14ac:dyDescent="0.25">
      <c r="A36" s="7">
        <v>23</v>
      </c>
      <c r="B36" s="3">
        <v>6</v>
      </c>
      <c r="C36" s="3"/>
      <c r="D36" s="3"/>
      <c r="E36" s="3"/>
      <c r="F36" s="3"/>
      <c r="G36" s="3">
        <f>42+5</f>
        <v>47</v>
      </c>
      <c r="H36" s="3"/>
      <c r="I36" s="3"/>
      <c r="J36" s="3">
        <v>20</v>
      </c>
      <c r="K36" s="3"/>
      <c r="L36" s="3"/>
      <c r="M36" s="3"/>
      <c r="N36" s="3"/>
      <c r="O36" s="3"/>
      <c r="P36" s="3"/>
      <c r="Q36" s="3">
        <v>109</v>
      </c>
      <c r="R36" s="3"/>
      <c r="S36" s="3"/>
      <c r="T36" s="3"/>
      <c r="U36" s="3">
        <v>26</v>
      </c>
      <c r="V36" s="3"/>
      <c r="W36" s="3"/>
      <c r="X36" s="5">
        <f t="shared" si="2"/>
        <v>208</v>
      </c>
    </row>
    <row r="37" spans="1:24" x14ac:dyDescent="0.25">
      <c r="A37" s="7">
        <v>24</v>
      </c>
      <c r="B37" s="3">
        <v>3</v>
      </c>
      <c r="C37" s="3"/>
      <c r="D37" s="3"/>
      <c r="E37" s="3"/>
      <c r="F37" s="3"/>
      <c r="G37" s="3">
        <f>30+5</f>
        <v>35</v>
      </c>
      <c r="H37" s="3"/>
      <c r="I37" s="3"/>
      <c r="J37" s="3">
        <v>45</v>
      </c>
      <c r="K37" s="3"/>
      <c r="L37" s="3"/>
      <c r="M37" s="3"/>
      <c r="N37" s="3"/>
      <c r="O37" s="3"/>
      <c r="P37" s="3"/>
      <c r="Q37" s="3">
        <v>23</v>
      </c>
      <c r="R37" s="3"/>
      <c r="S37" s="3"/>
      <c r="T37" s="3"/>
      <c r="U37" s="3">
        <v>24</v>
      </c>
      <c r="V37" s="3"/>
      <c r="W37" s="3"/>
      <c r="X37" s="5">
        <f t="shared" si="2"/>
        <v>130</v>
      </c>
    </row>
    <row r="38" spans="1:24" x14ac:dyDescent="0.25">
      <c r="A38" s="11" t="s">
        <v>24</v>
      </c>
      <c r="B38" s="11">
        <f>B39+B40</f>
        <v>0</v>
      </c>
      <c r="C38" s="11">
        <f t="shared" ref="C38:W38" si="12">C39+C40</f>
        <v>200</v>
      </c>
      <c r="D38" s="11">
        <f t="shared" si="12"/>
        <v>0</v>
      </c>
      <c r="E38" s="11">
        <f t="shared" si="12"/>
        <v>0</v>
      </c>
      <c r="F38" s="11">
        <f t="shared" si="12"/>
        <v>84</v>
      </c>
      <c r="G38" s="11">
        <f t="shared" si="12"/>
        <v>0</v>
      </c>
      <c r="H38" s="11">
        <f t="shared" si="12"/>
        <v>0</v>
      </c>
      <c r="I38" s="11">
        <f t="shared" si="12"/>
        <v>0</v>
      </c>
      <c r="J38" s="11">
        <f t="shared" si="12"/>
        <v>0</v>
      </c>
      <c r="K38" s="11">
        <f t="shared" si="12"/>
        <v>0</v>
      </c>
      <c r="L38" s="11">
        <f t="shared" si="12"/>
        <v>0</v>
      </c>
      <c r="M38" s="11">
        <f t="shared" si="12"/>
        <v>0</v>
      </c>
      <c r="N38" s="11">
        <f t="shared" si="12"/>
        <v>2660</v>
      </c>
      <c r="O38" s="11">
        <f t="shared" si="12"/>
        <v>0</v>
      </c>
      <c r="P38" s="11">
        <f t="shared" si="12"/>
        <v>0</v>
      </c>
      <c r="Q38" s="11">
        <f t="shared" si="12"/>
        <v>0</v>
      </c>
      <c r="R38" s="11">
        <f t="shared" si="12"/>
        <v>0</v>
      </c>
      <c r="S38" s="11">
        <f t="shared" si="12"/>
        <v>0</v>
      </c>
      <c r="T38" s="11">
        <f t="shared" si="12"/>
        <v>0</v>
      </c>
      <c r="U38" s="11">
        <f t="shared" si="12"/>
        <v>60</v>
      </c>
      <c r="V38" s="7">
        <f t="shared" si="12"/>
        <v>0</v>
      </c>
      <c r="W38" s="7">
        <f t="shared" si="12"/>
        <v>0</v>
      </c>
      <c r="X38" s="7">
        <f t="shared" si="2"/>
        <v>3004</v>
      </c>
    </row>
    <row r="39" spans="1:24" x14ac:dyDescent="0.25">
      <c r="A39" s="7">
        <v>25</v>
      </c>
      <c r="B39" s="3"/>
      <c r="C39" s="3">
        <v>195</v>
      </c>
      <c r="D39" s="3"/>
      <c r="E39" s="3"/>
      <c r="F39" s="3">
        <v>84</v>
      </c>
      <c r="G39" s="3"/>
      <c r="H39" s="3"/>
      <c r="I39" s="3"/>
      <c r="J39" s="3"/>
      <c r="K39" s="3"/>
      <c r="L39" s="3"/>
      <c r="M39" s="3"/>
      <c r="N39" s="3">
        <v>2640</v>
      </c>
      <c r="O39" s="3"/>
      <c r="P39" s="3"/>
      <c r="Q39" s="3"/>
      <c r="R39" s="3"/>
      <c r="S39" s="3"/>
      <c r="T39" s="3"/>
      <c r="U39" s="3">
        <v>60</v>
      </c>
      <c r="V39" s="3"/>
      <c r="W39" s="3"/>
      <c r="X39" s="5">
        <f t="shared" si="2"/>
        <v>2979</v>
      </c>
    </row>
    <row r="40" spans="1:24" x14ac:dyDescent="0.25">
      <c r="A40" s="7">
        <v>26</v>
      </c>
      <c r="B40" s="3"/>
      <c r="C40" s="3">
        <v>5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v>20</v>
      </c>
      <c r="O40" s="3"/>
      <c r="P40" s="3"/>
      <c r="Q40" s="3"/>
      <c r="R40" s="3"/>
      <c r="S40" s="3"/>
      <c r="T40" s="3"/>
      <c r="U40" s="3"/>
      <c r="V40" s="3"/>
      <c r="W40" s="3"/>
      <c r="X40" s="5">
        <f t="shared" si="2"/>
        <v>25</v>
      </c>
    </row>
    <row r="41" spans="1:24" x14ac:dyDescent="0.25">
      <c r="A41" s="11" t="s">
        <v>25</v>
      </c>
      <c r="B41" s="11">
        <f>B42+B43+B44</f>
        <v>0</v>
      </c>
      <c r="C41" s="11">
        <f t="shared" ref="C41:W41" si="13">C42+C43+C44</f>
        <v>0</v>
      </c>
      <c r="D41" s="11">
        <f t="shared" si="13"/>
        <v>0</v>
      </c>
      <c r="E41" s="11">
        <f t="shared" si="13"/>
        <v>0</v>
      </c>
      <c r="F41" s="11">
        <f t="shared" si="13"/>
        <v>0</v>
      </c>
      <c r="G41" s="11">
        <f t="shared" si="13"/>
        <v>0</v>
      </c>
      <c r="H41" s="11">
        <f t="shared" si="13"/>
        <v>0</v>
      </c>
      <c r="I41" s="11">
        <f t="shared" si="13"/>
        <v>0</v>
      </c>
      <c r="J41" s="11">
        <f t="shared" si="13"/>
        <v>0</v>
      </c>
      <c r="K41" s="11">
        <f t="shared" si="13"/>
        <v>0</v>
      </c>
      <c r="L41" s="11">
        <f t="shared" si="13"/>
        <v>0</v>
      </c>
      <c r="M41" s="11">
        <f t="shared" si="13"/>
        <v>0</v>
      </c>
      <c r="N41" s="11">
        <f t="shared" si="13"/>
        <v>0</v>
      </c>
      <c r="O41" s="11">
        <f t="shared" si="13"/>
        <v>0</v>
      </c>
      <c r="P41" s="11">
        <f t="shared" si="13"/>
        <v>0</v>
      </c>
      <c r="Q41" s="11">
        <f t="shared" si="13"/>
        <v>0</v>
      </c>
      <c r="R41" s="11">
        <f t="shared" si="13"/>
        <v>0</v>
      </c>
      <c r="S41" s="11">
        <f t="shared" si="13"/>
        <v>0</v>
      </c>
      <c r="T41" s="11">
        <f t="shared" si="13"/>
        <v>0</v>
      </c>
      <c r="U41" s="11">
        <f t="shared" si="13"/>
        <v>38</v>
      </c>
      <c r="V41" s="7">
        <f t="shared" si="13"/>
        <v>0</v>
      </c>
      <c r="W41" s="7">
        <f t="shared" si="13"/>
        <v>0</v>
      </c>
      <c r="X41" s="7">
        <f t="shared" si="2"/>
        <v>38</v>
      </c>
    </row>
    <row r="42" spans="1:24" x14ac:dyDescent="0.25">
      <c r="A42" s="7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>
        <v>5</v>
      </c>
      <c r="V42" s="3"/>
      <c r="W42" s="3"/>
      <c r="X42" s="5">
        <f t="shared" si="2"/>
        <v>5</v>
      </c>
    </row>
    <row r="43" spans="1:24" x14ac:dyDescent="0.25">
      <c r="A43" s="7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33</v>
      </c>
      <c r="V43" s="3"/>
      <c r="W43" s="3"/>
      <c r="X43" s="5">
        <f t="shared" si="2"/>
        <v>33</v>
      </c>
    </row>
    <row r="44" spans="1:24" x14ac:dyDescent="0.25">
      <c r="A44" s="6">
        <v>29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5">
        <f t="shared" si="2"/>
        <v>0</v>
      </c>
    </row>
    <row r="45" spans="1:24" x14ac:dyDescent="0.25">
      <c r="A45" s="11" t="s">
        <v>26</v>
      </c>
      <c r="B45" s="11">
        <f>B46</f>
        <v>0</v>
      </c>
      <c r="C45" s="11">
        <f t="shared" ref="C45:W45" si="14">C46</f>
        <v>0</v>
      </c>
      <c r="D45" s="11">
        <f t="shared" si="14"/>
        <v>0</v>
      </c>
      <c r="E45" s="11">
        <f t="shared" si="14"/>
        <v>0</v>
      </c>
      <c r="F45" s="11">
        <f t="shared" si="14"/>
        <v>0</v>
      </c>
      <c r="G45" s="11">
        <f t="shared" si="14"/>
        <v>80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40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200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7">
        <f t="shared" si="14"/>
        <v>40</v>
      </c>
      <c r="W45" s="7">
        <f t="shared" si="14"/>
        <v>0</v>
      </c>
      <c r="X45" s="7">
        <f t="shared" si="2"/>
        <v>360</v>
      </c>
    </row>
    <row r="46" spans="1:24" x14ac:dyDescent="0.25">
      <c r="A46" s="8">
        <v>30</v>
      </c>
      <c r="B46" s="3"/>
      <c r="C46" s="3"/>
      <c r="D46" s="3"/>
      <c r="E46" s="3"/>
      <c r="F46" s="3"/>
      <c r="G46" s="3">
        <v>80</v>
      </c>
      <c r="H46" s="3"/>
      <c r="I46" s="3"/>
      <c r="J46" s="3"/>
      <c r="K46" s="3">
        <v>40</v>
      </c>
      <c r="L46" s="3"/>
      <c r="M46" s="3"/>
      <c r="N46" s="3"/>
      <c r="O46" s="3"/>
      <c r="P46" s="3"/>
      <c r="Q46" s="3">
        <v>200</v>
      </c>
      <c r="R46" s="3"/>
      <c r="S46" s="3"/>
      <c r="T46" s="3"/>
      <c r="U46" s="3"/>
      <c r="V46" s="3">
        <v>40</v>
      </c>
      <c r="W46" s="3"/>
      <c r="X46" s="5">
        <f t="shared" si="2"/>
        <v>360</v>
      </c>
    </row>
    <row r="47" spans="1:24" ht="30" x14ac:dyDescent="0.25">
      <c r="A47" s="11" t="s">
        <v>27</v>
      </c>
      <c r="B47" s="11">
        <f>B48+B49+B50+B51+B52+B53+B54+B55+B56+B57</f>
        <v>802</v>
      </c>
      <c r="C47" s="11">
        <f t="shared" ref="C47:W47" si="15">C48+C49+C50+C51+C52+C53+C54+C55+C56+C57</f>
        <v>0</v>
      </c>
      <c r="D47" s="11">
        <f t="shared" si="15"/>
        <v>0</v>
      </c>
      <c r="E47" s="11">
        <f t="shared" si="15"/>
        <v>0</v>
      </c>
      <c r="F47" s="11">
        <f t="shared" si="15"/>
        <v>0</v>
      </c>
      <c r="G47" s="11">
        <f t="shared" si="15"/>
        <v>0</v>
      </c>
      <c r="H47" s="11">
        <f t="shared" si="15"/>
        <v>0</v>
      </c>
      <c r="I47" s="11">
        <f t="shared" si="15"/>
        <v>0</v>
      </c>
      <c r="J47" s="11">
        <f t="shared" si="15"/>
        <v>554</v>
      </c>
      <c r="K47" s="11">
        <f t="shared" si="15"/>
        <v>335</v>
      </c>
      <c r="L47" s="11">
        <f t="shared" si="15"/>
        <v>105</v>
      </c>
      <c r="M47" s="11">
        <f t="shared" si="15"/>
        <v>0</v>
      </c>
      <c r="N47" s="11">
        <f t="shared" si="15"/>
        <v>0</v>
      </c>
      <c r="O47" s="11">
        <f t="shared" si="15"/>
        <v>0</v>
      </c>
      <c r="P47" s="11">
        <f t="shared" si="15"/>
        <v>0</v>
      </c>
      <c r="Q47" s="11">
        <f t="shared" si="15"/>
        <v>273</v>
      </c>
      <c r="R47" s="11">
        <f t="shared" si="15"/>
        <v>0</v>
      </c>
      <c r="S47" s="11">
        <f t="shared" si="15"/>
        <v>0</v>
      </c>
      <c r="T47" s="11">
        <f t="shared" si="15"/>
        <v>2960</v>
      </c>
      <c r="U47" s="11">
        <f t="shared" si="15"/>
        <v>0</v>
      </c>
      <c r="V47" s="7">
        <f t="shared" si="15"/>
        <v>360</v>
      </c>
      <c r="W47" s="7">
        <f t="shared" si="15"/>
        <v>0</v>
      </c>
      <c r="X47" s="7">
        <f t="shared" si="2"/>
        <v>5389</v>
      </c>
    </row>
    <row r="48" spans="1:24" x14ac:dyDescent="0.25">
      <c r="A48" s="7">
        <v>31</v>
      </c>
      <c r="B48" s="3">
        <v>271</v>
      </c>
      <c r="C48" s="3"/>
      <c r="D48" s="3"/>
      <c r="E48" s="3"/>
      <c r="F48" s="3"/>
      <c r="G48" s="3"/>
      <c r="H48" s="3"/>
      <c r="I48" s="3"/>
      <c r="J48" s="3">
        <v>212</v>
      </c>
      <c r="K48" s="3">
        <v>221</v>
      </c>
      <c r="L48" s="3">
        <v>59</v>
      </c>
      <c r="M48" s="3"/>
      <c r="N48" s="3"/>
      <c r="O48" s="3"/>
      <c r="P48" s="3"/>
      <c r="Q48" s="3">
        <v>31</v>
      </c>
      <c r="R48" s="3"/>
      <c r="S48" s="3"/>
      <c r="T48" s="3">
        <v>304</v>
      </c>
      <c r="U48" s="3"/>
      <c r="V48" s="3">
        <f>26+90</f>
        <v>116</v>
      </c>
      <c r="W48" s="3"/>
      <c r="X48" s="5">
        <f t="shared" si="2"/>
        <v>1214</v>
      </c>
    </row>
    <row r="49" spans="1:24" x14ac:dyDescent="0.25">
      <c r="A49" s="7">
        <v>32</v>
      </c>
      <c r="B49" s="3">
        <v>95</v>
      </c>
      <c r="C49" s="3"/>
      <c r="D49" s="3"/>
      <c r="E49" s="3"/>
      <c r="F49" s="3"/>
      <c r="G49" s="3"/>
      <c r="H49" s="3"/>
      <c r="I49" s="3"/>
      <c r="J49" s="3">
        <v>74</v>
      </c>
      <c r="K49" s="3">
        <v>15</v>
      </c>
      <c r="L49" s="3">
        <v>37</v>
      </c>
      <c r="M49" s="3"/>
      <c r="N49" s="3"/>
      <c r="O49" s="3"/>
      <c r="P49" s="3"/>
      <c r="Q49" s="3">
        <v>28</v>
      </c>
      <c r="R49" s="3"/>
      <c r="S49" s="3"/>
      <c r="T49" s="3">
        <v>122</v>
      </c>
      <c r="U49" s="3"/>
      <c r="V49" s="3">
        <f>90-60</f>
        <v>30</v>
      </c>
      <c r="W49" s="3"/>
      <c r="X49" s="5">
        <f t="shared" si="2"/>
        <v>401</v>
      </c>
    </row>
    <row r="50" spans="1:24" x14ac:dyDescent="0.25">
      <c r="A50" s="7">
        <v>33</v>
      </c>
      <c r="B50" s="3">
        <v>36</v>
      </c>
      <c r="C50" s="3"/>
      <c r="D50" s="3"/>
      <c r="E50" s="3"/>
      <c r="F50" s="3"/>
      <c r="G50" s="3"/>
      <c r="H50" s="3"/>
      <c r="I50" s="3"/>
      <c r="J50" s="3">
        <v>10</v>
      </c>
      <c r="K50" s="3">
        <v>1</v>
      </c>
      <c r="L50" s="3">
        <v>9</v>
      </c>
      <c r="M50" s="3"/>
      <c r="N50" s="3"/>
      <c r="O50" s="3"/>
      <c r="P50" s="3"/>
      <c r="Q50" s="3">
        <v>9</v>
      </c>
      <c r="R50" s="3"/>
      <c r="S50" s="3"/>
      <c r="T50" s="3">
        <v>35</v>
      </c>
      <c r="U50" s="3"/>
      <c r="V50" s="3">
        <v>4</v>
      </c>
      <c r="W50" s="3"/>
      <c r="X50" s="5">
        <f t="shared" si="2"/>
        <v>104</v>
      </c>
    </row>
    <row r="51" spans="1:24" x14ac:dyDescent="0.25">
      <c r="A51" s="7">
        <v>34</v>
      </c>
      <c r="B51" s="3">
        <v>300</v>
      </c>
      <c r="C51" s="3"/>
      <c r="D51" s="3"/>
      <c r="E51" s="3"/>
      <c r="F51" s="3"/>
      <c r="G51" s="3"/>
      <c r="H51" s="3"/>
      <c r="I51" s="3"/>
      <c r="J51" s="3">
        <v>196</v>
      </c>
      <c r="K51" s="3">
        <v>88</v>
      </c>
      <c r="L51" s="3"/>
      <c r="M51" s="3"/>
      <c r="N51" s="3"/>
      <c r="O51" s="3"/>
      <c r="P51" s="3"/>
      <c r="Q51" s="3">
        <v>115</v>
      </c>
      <c r="R51" s="3"/>
      <c r="S51" s="3"/>
      <c r="T51" s="3">
        <v>642</v>
      </c>
      <c r="U51" s="3"/>
      <c r="V51" s="3">
        <f>35+75</f>
        <v>110</v>
      </c>
      <c r="W51" s="3"/>
      <c r="X51" s="5">
        <f t="shared" si="2"/>
        <v>1451</v>
      </c>
    </row>
    <row r="52" spans="1:24" x14ac:dyDescent="0.25">
      <c r="A52" s="7">
        <v>35</v>
      </c>
      <c r="B52" s="3">
        <v>76</v>
      </c>
      <c r="C52" s="3"/>
      <c r="D52" s="3"/>
      <c r="E52" s="3"/>
      <c r="F52" s="3"/>
      <c r="G52" s="3"/>
      <c r="H52" s="3"/>
      <c r="I52" s="3"/>
      <c r="J52" s="3">
        <v>51</v>
      </c>
      <c r="K52" s="3">
        <v>10</v>
      </c>
      <c r="L52" s="3"/>
      <c r="M52" s="3"/>
      <c r="N52" s="3"/>
      <c r="O52" s="3"/>
      <c r="P52" s="3"/>
      <c r="Q52" s="3">
        <v>75</v>
      </c>
      <c r="R52" s="3"/>
      <c r="S52" s="3"/>
      <c r="T52" s="3">
        <v>210</v>
      </c>
      <c r="U52" s="3"/>
      <c r="V52" s="3">
        <f>157-113</f>
        <v>44</v>
      </c>
      <c r="W52" s="3"/>
      <c r="X52" s="5">
        <f t="shared" si="2"/>
        <v>466</v>
      </c>
    </row>
    <row r="53" spans="1:24" x14ac:dyDescent="0.25">
      <c r="A53" s="7">
        <v>36</v>
      </c>
      <c r="B53" s="3">
        <v>24</v>
      </c>
      <c r="C53" s="3"/>
      <c r="D53" s="3"/>
      <c r="E53" s="3"/>
      <c r="F53" s="3"/>
      <c r="G53" s="3"/>
      <c r="H53" s="3"/>
      <c r="I53" s="3"/>
      <c r="J53" s="3">
        <v>11</v>
      </c>
      <c r="K53" s="3"/>
      <c r="L53" s="3"/>
      <c r="M53" s="3"/>
      <c r="N53" s="3"/>
      <c r="O53" s="3"/>
      <c r="P53" s="3"/>
      <c r="Q53" s="3">
        <v>15</v>
      </c>
      <c r="R53" s="3"/>
      <c r="S53" s="3"/>
      <c r="T53" s="3">
        <v>67</v>
      </c>
      <c r="U53" s="3"/>
      <c r="V53" s="3">
        <f>18-2</f>
        <v>16</v>
      </c>
      <c r="W53" s="3"/>
      <c r="X53" s="5">
        <f t="shared" si="2"/>
        <v>133</v>
      </c>
    </row>
    <row r="54" spans="1:24" x14ac:dyDescent="0.25">
      <c r="A54" s="7">
        <v>37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>
        <v>462</v>
      </c>
      <c r="U54" s="3"/>
      <c r="V54" s="3">
        <v>10</v>
      </c>
      <c r="W54" s="3"/>
      <c r="X54" s="5">
        <f t="shared" si="2"/>
        <v>472</v>
      </c>
    </row>
    <row r="55" spans="1:24" x14ac:dyDescent="0.25">
      <c r="A55" s="7">
        <v>38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>
        <v>3</v>
      </c>
      <c r="U55" s="3"/>
      <c r="V55" s="3"/>
      <c r="W55" s="3"/>
      <c r="X55" s="5">
        <f t="shared" si="2"/>
        <v>3</v>
      </c>
    </row>
    <row r="56" spans="1:24" x14ac:dyDescent="0.25">
      <c r="A56" s="7">
        <v>39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f>610+5</f>
        <v>615</v>
      </c>
      <c r="U56" s="3"/>
      <c r="V56" s="3">
        <v>10</v>
      </c>
      <c r="W56" s="3"/>
      <c r="X56" s="5">
        <f t="shared" si="2"/>
        <v>625</v>
      </c>
    </row>
    <row r="57" spans="1:24" x14ac:dyDescent="0.25">
      <c r="A57" s="7">
        <v>40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500</v>
      </c>
      <c r="U57" s="3"/>
      <c r="V57" s="3">
        <f>10+10</f>
        <v>20</v>
      </c>
      <c r="W57" s="3"/>
      <c r="X57" s="5">
        <f t="shared" si="2"/>
        <v>520</v>
      </c>
    </row>
    <row r="58" spans="1:24" x14ac:dyDescent="0.25">
      <c r="A58" s="11" t="s">
        <v>28</v>
      </c>
      <c r="B58" s="11">
        <f>B59+B60</f>
        <v>0</v>
      </c>
      <c r="C58" s="11">
        <f t="shared" ref="C58:W58" si="16">C59+C60</f>
        <v>0</v>
      </c>
      <c r="D58" s="11">
        <f t="shared" si="16"/>
        <v>0</v>
      </c>
      <c r="E58" s="11">
        <f t="shared" si="16"/>
        <v>0</v>
      </c>
      <c r="F58" s="11">
        <f t="shared" si="16"/>
        <v>0</v>
      </c>
      <c r="G58" s="11">
        <f t="shared" si="16"/>
        <v>0</v>
      </c>
      <c r="H58" s="11">
        <f t="shared" si="16"/>
        <v>0</v>
      </c>
      <c r="I58" s="11">
        <f t="shared" si="16"/>
        <v>0</v>
      </c>
      <c r="J58" s="11">
        <f t="shared" si="16"/>
        <v>0</v>
      </c>
      <c r="K58" s="11">
        <f t="shared" si="16"/>
        <v>0</v>
      </c>
      <c r="L58" s="11">
        <f t="shared" si="16"/>
        <v>0</v>
      </c>
      <c r="M58" s="11">
        <f t="shared" si="16"/>
        <v>0</v>
      </c>
      <c r="N58" s="11">
        <f t="shared" si="16"/>
        <v>0</v>
      </c>
      <c r="O58" s="11">
        <f t="shared" si="16"/>
        <v>0</v>
      </c>
      <c r="P58" s="11">
        <f t="shared" si="16"/>
        <v>0</v>
      </c>
      <c r="Q58" s="11">
        <f t="shared" si="16"/>
        <v>30</v>
      </c>
      <c r="R58" s="11">
        <f t="shared" si="16"/>
        <v>0</v>
      </c>
      <c r="S58" s="11">
        <f t="shared" si="16"/>
        <v>0</v>
      </c>
      <c r="T58" s="11">
        <f t="shared" si="16"/>
        <v>0</v>
      </c>
      <c r="U58" s="11">
        <f t="shared" si="16"/>
        <v>0</v>
      </c>
      <c r="V58" s="7">
        <f t="shared" si="16"/>
        <v>50</v>
      </c>
      <c r="W58" s="7">
        <f t="shared" si="16"/>
        <v>0</v>
      </c>
      <c r="X58" s="7">
        <f t="shared" si="2"/>
        <v>80</v>
      </c>
    </row>
    <row r="59" spans="1:24" x14ac:dyDescent="0.25">
      <c r="A59" s="7">
        <v>41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>
        <v>20</v>
      </c>
      <c r="R59" s="3"/>
      <c r="S59" s="3"/>
      <c r="T59" s="3"/>
      <c r="U59" s="3"/>
      <c r="V59" s="3">
        <v>50</v>
      </c>
      <c r="W59" s="3"/>
      <c r="X59" s="5">
        <f t="shared" si="2"/>
        <v>70</v>
      </c>
    </row>
    <row r="60" spans="1:24" x14ac:dyDescent="0.25">
      <c r="A60" s="7">
        <v>42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>
        <v>10</v>
      </c>
      <c r="R60" s="3"/>
      <c r="S60" s="3"/>
      <c r="T60" s="3"/>
      <c r="U60" s="3"/>
      <c r="V60" s="3"/>
      <c r="W60" s="3"/>
      <c r="X60" s="5">
        <f t="shared" si="2"/>
        <v>10</v>
      </c>
    </row>
    <row r="61" spans="1:24" x14ac:dyDescent="0.25">
      <c r="A61" s="11" t="s">
        <v>29</v>
      </c>
      <c r="B61" s="11">
        <f t="shared" ref="B61:T61" si="17">SUM(B62:B66)</f>
        <v>176</v>
      </c>
      <c r="C61" s="11">
        <f t="shared" si="17"/>
        <v>0</v>
      </c>
      <c r="D61" s="11">
        <f t="shared" si="17"/>
        <v>20</v>
      </c>
      <c r="E61" s="11">
        <f t="shared" si="17"/>
        <v>0</v>
      </c>
      <c r="F61" s="11">
        <f t="shared" si="17"/>
        <v>0</v>
      </c>
      <c r="G61" s="11">
        <f t="shared" si="17"/>
        <v>94</v>
      </c>
      <c r="H61" s="11">
        <f t="shared" si="17"/>
        <v>218</v>
      </c>
      <c r="I61" s="11">
        <f t="shared" si="17"/>
        <v>230</v>
      </c>
      <c r="J61" s="11">
        <f t="shared" si="17"/>
        <v>206</v>
      </c>
      <c r="K61" s="11">
        <f t="shared" si="17"/>
        <v>129</v>
      </c>
      <c r="L61" s="11">
        <f t="shared" si="17"/>
        <v>25</v>
      </c>
      <c r="M61" s="11">
        <f t="shared" si="17"/>
        <v>0</v>
      </c>
      <c r="N61" s="11">
        <f t="shared" si="17"/>
        <v>0</v>
      </c>
      <c r="O61" s="11">
        <f t="shared" si="17"/>
        <v>0</v>
      </c>
      <c r="P61" s="11">
        <f t="shared" si="17"/>
        <v>0</v>
      </c>
      <c r="Q61" s="11">
        <f t="shared" si="17"/>
        <v>403</v>
      </c>
      <c r="R61" s="11">
        <f t="shared" si="17"/>
        <v>216</v>
      </c>
      <c r="S61" s="11">
        <f t="shared" si="17"/>
        <v>0</v>
      </c>
      <c r="T61" s="11">
        <f t="shared" si="17"/>
        <v>0</v>
      </c>
      <c r="U61" s="11">
        <f>SUM(U62:U66)</f>
        <v>57</v>
      </c>
      <c r="V61" s="11">
        <f t="shared" ref="V61:W61" si="18">SUM(V62:V66)</f>
        <v>50</v>
      </c>
      <c r="W61" s="11">
        <f t="shared" si="18"/>
        <v>0</v>
      </c>
      <c r="X61" s="7">
        <f t="shared" si="2"/>
        <v>1824</v>
      </c>
    </row>
    <row r="62" spans="1:24" x14ac:dyDescent="0.25">
      <c r="A62" s="7">
        <v>43</v>
      </c>
      <c r="B62" s="3">
        <v>41</v>
      </c>
      <c r="C62" s="3"/>
      <c r="D62" s="3"/>
      <c r="E62" s="3"/>
      <c r="F62" s="3"/>
      <c r="G62" s="3">
        <v>22</v>
      </c>
      <c r="H62" s="3">
        <v>204</v>
      </c>
      <c r="I62" s="3">
        <v>10</v>
      </c>
      <c r="J62" s="3">
        <v>63</v>
      </c>
      <c r="K62" s="3">
        <v>42</v>
      </c>
      <c r="L62" s="3">
        <v>8</v>
      </c>
      <c r="M62" s="3"/>
      <c r="N62" s="3"/>
      <c r="O62" s="3"/>
      <c r="P62" s="3"/>
      <c r="Q62" s="3">
        <v>80</v>
      </c>
      <c r="R62" s="3">
        <v>54</v>
      </c>
      <c r="S62" s="3"/>
      <c r="T62" s="3"/>
      <c r="U62" s="3">
        <v>55</v>
      </c>
      <c r="V62" s="3"/>
      <c r="W62" s="3"/>
      <c r="X62" s="5">
        <f t="shared" si="2"/>
        <v>579</v>
      </c>
    </row>
    <row r="63" spans="1:24" x14ac:dyDescent="0.25">
      <c r="A63" s="7">
        <v>44</v>
      </c>
      <c r="B63" s="3">
        <v>35</v>
      </c>
      <c r="C63" s="3"/>
      <c r="D63" s="3">
        <v>20</v>
      </c>
      <c r="E63" s="3"/>
      <c r="F63" s="3"/>
      <c r="G63" s="3">
        <v>30</v>
      </c>
      <c r="H63" s="3">
        <f>1+1+1</f>
        <v>3</v>
      </c>
      <c r="I63" s="3"/>
      <c r="J63" s="3">
        <v>18</v>
      </c>
      <c r="K63" s="3">
        <v>57</v>
      </c>
      <c r="L63" s="3">
        <v>10</v>
      </c>
      <c r="M63" s="3"/>
      <c r="N63" s="3"/>
      <c r="O63" s="3"/>
      <c r="P63" s="3"/>
      <c r="Q63" s="3">
        <v>21</v>
      </c>
      <c r="R63" s="3"/>
      <c r="S63" s="3"/>
      <c r="T63" s="3"/>
      <c r="U63" s="3">
        <v>0</v>
      </c>
      <c r="V63" s="3"/>
      <c r="W63" s="3"/>
      <c r="X63" s="5">
        <f t="shared" si="2"/>
        <v>194</v>
      </c>
    </row>
    <row r="64" spans="1:24" x14ac:dyDescent="0.25">
      <c r="A64" s="7">
        <v>45</v>
      </c>
      <c r="B64" s="3"/>
      <c r="C64" s="3"/>
      <c r="D64" s="3"/>
      <c r="E64" s="3"/>
      <c r="F64" s="3"/>
      <c r="G64" s="3"/>
      <c r="H64" s="3">
        <v>3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>
        <v>2</v>
      </c>
      <c r="V64" s="3"/>
      <c r="W64" s="3"/>
      <c r="X64" s="5">
        <f t="shared" si="2"/>
        <v>5</v>
      </c>
    </row>
    <row r="65" spans="1:24" x14ac:dyDescent="0.25">
      <c r="A65" s="7">
        <v>46</v>
      </c>
      <c r="B65" s="3">
        <v>100</v>
      </c>
      <c r="C65" s="3"/>
      <c r="D65" s="3"/>
      <c r="E65" s="3"/>
      <c r="F65" s="3"/>
      <c r="G65" s="3">
        <v>42</v>
      </c>
      <c r="H65" s="3"/>
      <c r="I65" s="3">
        <v>220</v>
      </c>
      <c r="J65" s="3">
        <v>125</v>
      </c>
      <c r="K65" s="3">
        <v>30</v>
      </c>
      <c r="L65" s="3">
        <v>7</v>
      </c>
      <c r="M65" s="3"/>
      <c r="N65" s="3"/>
      <c r="O65" s="3"/>
      <c r="P65" s="3"/>
      <c r="Q65" s="3">
        <v>302</v>
      </c>
      <c r="R65" s="3">
        <v>162</v>
      </c>
      <c r="S65" s="3"/>
      <c r="T65" s="3"/>
      <c r="U65" s="3"/>
      <c r="V65" s="3">
        <v>50</v>
      </c>
      <c r="W65" s="3">
        <v>0</v>
      </c>
      <c r="X65" s="5">
        <f t="shared" si="2"/>
        <v>1038</v>
      </c>
    </row>
    <row r="66" spans="1:24" x14ac:dyDescent="0.25">
      <c r="A66" s="7">
        <v>47</v>
      </c>
      <c r="B66" s="3"/>
      <c r="C66" s="3"/>
      <c r="D66" s="3"/>
      <c r="E66" s="3"/>
      <c r="F66" s="3"/>
      <c r="G66" s="3"/>
      <c r="H66" s="3">
        <f>5+3</f>
        <v>8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5">
        <f t="shared" si="2"/>
        <v>8</v>
      </c>
    </row>
    <row r="67" spans="1:24" x14ac:dyDescent="0.25">
      <c r="A67" s="11" t="s">
        <v>30</v>
      </c>
      <c r="B67" s="11">
        <f>B68+B69</f>
        <v>30</v>
      </c>
      <c r="C67" s="11">
        <f t="shared" ref="C67:W67" si="19">C68+C69</f>
        <v>0</v>
      </c>
      <c r="D67" s="11">
        <f t="shared" si="19"/>
        <v>0</v>
      </c>
      <c r="E67" s="11">
        <f t="shared" si="19"/>
        <v>0</v>
      </c>
      <c r="F67" s="11">
        <f t="shared" si="19"/>
        <v>0</v>
      </c>
      <c r="G67" s="11">
        <f t="shared" si="19"/>
        <v>0</v>
      </c>
      <c r="H67" s="11">
        <f t="shared" si="19"/>
        <v>25</v>
      </c>
      <c r="I67" s="11">
        <f t="shared" si="19"/>
        <v>0</v>
      </c>
      <c r="J67" s="11">
        <f t="shared" si="19"/>
        <v>10</v>
      </c>
      <c r="K67" s="11">
        <f t="shared" si="19"/>
        <v>0</v>
      </c>
      <c r="L67" s="11">
        <f t="shared" si="19"/>
        <v>0</v>
      </c>
      <c r="M67" s="11">
        <f t="shared" si="19"/>
        <v>0</v>
      </c>
      <c r="N67" s="11">
        <f t="shared" si="19"/>
        <v>0</v>
      </c>
      <c r="O67" s="11">
        <f t="shared" si="19"/>
        <v>41</v>
      </c>
      <c r="P67" s="11">
        <f t="shared" si="19"/>
        <v>0</v>
      </c>
      <c r="Q67" s="11">
        <f t="shared" si="19"/>
        <v>117</v>
      </c>
      <c r="R67" s="11">
        <f t="shared" si="19"/>
        <v>0</v>
      </c>
      <c r="S67" s="11">
        <f t="shared" si="19"/>
        <v>0</v>
      </c>
      <c r="T67" s="11">
        <f t="shared" si="19"/>
        <v>0</v>
      </c>
      <c r="U67" s="11">
        <f t="shared" si="19"/>
        <v>130</v>
      </c>
      <c r="V67" s="7">
        <f t="shared" si="19"/>
        <v>121</v>
      </c>
      <c r="W67" s="7">
        <f t="shared" si="19"/>
        <v>18</v>
      </c>
      <c r="X67" s="7">
        <f t="shared" si="2"/>
        <v>492</v>
      </c>
    </row>
    <row r="68" spans="1:24" x14ac:dyDescent="0.25">
      <c r="A68" s="7">
        <v>48</v>
      </c>
      <c r="B68" s="3">
        <v>30</v>
      </c>
      <c r="C68" s="3"/>
      <c r="D68" s="3"/>
      <c r="E68" s="3"/>
      <c r="F68" s="3"/>
      <c r="G68" s="3"/>
      <c r="H68" s="3">
        <v>25</v>
      </c>
      <c r="I68" s="3"/>
      <c r="J68" s="3">
        <v>10</v>
      </c>
      <c r="K68" s="3"/>
      <c r="L68" s="3"/>
      <c r="M68" s="3"/>
      <c r="N68" s="3"/>
      <c r="O68" s="3">
        <v>31</v>
      </c>
      <c r="P68" s="3"/>
      <c r="Q68" s="3">
        <v>107</v>
      </c>
      <c r="R68" s="3"/>
      <c r="S68" s="3"/>
      <c r="T68" s="3"/>
      <c r="U68" s="3">
        <v>130</v>
      </c>
      <c r="V68" s="3">
        <v>121</v>
      </c>
      <c r="W68" s="3">
        <v>18</v>
      </c>
      <c r="X68" s="5">
        <f t="shared" si="2"/>
        <v>472</v>
      </c>
    </row>
    <row r="69" spans="1:24" x14ac:dyDescent="0.25">
      <c r="A69" s="7">
        <v>49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10</v>
      </c>
      <c r="P69" s="3"/>
      <c r="Q69" s="3">
        <v>10</v>
      </c>
      <c r="R69" s="3"/>
      <c r="S69" s="3"/>
      <c r="T69" s="3"/>
      <c r="U69" s="3"/>
      <c r="V69" s="3"/>
      <c r="W69" s="3"/>
      <c r="X69" s="5">
        <f t="shared" si="2"/>
        <v>20</v>
      </c>
    </row>
    <row r="70" spans="1:24" ht="30" x14ac:dyDescent="0.25">
      <c r="A70" s="11" t="s">
        <v>31</v>
      </c>
      <c r="B70" s="11">
        <f>B71</f>
        <v>0</v>
      </c>
      <c r="C70" s="11">
        <f t="shared" ref="C70:W70" si="20">C71</f>
        <v>0</v>
      </c>
      <c r="D70" s="11">
        <f t="shared" si="20"/>
        <v>0</v>
      </c>
      <c r="E70" s="11">
        <f t="shared" si="20"/>
        <v>0</v>
      </c>
      <c r="F70" s="11">
        <f t="shared" si="20"/>
        <v>0</v>
      </c>
      <c r="G70" s="11">
        <f t="shared" si="20"/>
        <v>0</v>
      </c>
      <c r="H70" s="11">
        <f t="shared" si="20"/>
        <v>0</v>
      </c>
      <c r="I70" s="11">
        <f t="shared" si="20"/>
        <v>0</v>
      </c>
      <c r="J70" s="11">
        <f t="shared" si="20"/>
        <v>60</v>
      </c>
      <c r="K70" s="11">
        <f t="shared" si="20"/>
        <v>0</v>
      </c>
      <c r="L70" s="11">
        <f t="shared" si="20"/>
        <v>0</v>
      </c>
      <c r="M70" s="11">
        <f t="shared" si="20"/>
        <v>0</v>
      </c>
      <c r="N70" s="11">
        <f t="shared" si="20"/>
        <v>0</v>
      </c>
      <c r="O70" s="11">
        <f t="shared" si="20"/>
        <v>0</v>
      </c>
      <c r="P70" s="11">
        <f t="shared" si="20"/>
        <v>0</v>
      </c>
      <c r="Q70" s="11">
        <f t="shared" si="20"/>
        <v>0</v>
      </c>
      <c r="R70" s="11">
        <f t="shared" si="20"/>
        <v>0</v>
      </c>
      <c r="S70" s="11">
        <f t="shared" si="20"/>
        <v>0</v>
      </c>
      <c r="T70" s="11">
        <f t="shared" si="20"/>
        <v>0</v>
      </c>
      <c r="U70" s="11">
        <f t="shared" si="20"/>
        <v>42</v>
      </c>
      <c r="V70" s="7">
        <f t="shared" si="20"/>
        <v>0</v>
      </c>
      <c r="W70" s="7">
        <f t="shared" si="20"/>
        <v>0</v>
      </c>
      <c r="X70" s="7">
        <f t="shared" ref="X70:X75" si="21">B70+C70+D70+E70+F70+G70+H70+I70+J70+K70+L70+M70+N70+O70+P70+Q70+R70+S70+T70+U70+V70+W70</f>
        <v>102</v>
      </c>
    </row>
    <row r="71" spans="1:24" x14ac:dyDescent="0.25">
      <c r="A71" s="7">
        <v>50</v>
      </c>
      <c r="B71" s="3"/>
      <c r="C71" s="3"/>
      <c r="D71" s="3"/>
      <c r="E71" s="3"/>
      <c r="F71" s="3"/>
      <c r="G71" s="3"/>
      <c r="H71" s="3"/>
      <c r="I71" s="3"/>
      <c r="J71" s="3">
        <v>60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>
        <v>42</v>
      </c>
      <c r="V71" s="3"/>
      <c r="W71" s="3"/>
      <c r="X71" s="5">
        <f t="shared" si="21"/>
        <v>102</v>
      </c>
    </row>
    <row r="72" spans="1:24" x14ac:dyDescent="0.25">
      <c r="A72" s="11" t="s">
        <v>32</v>
      </c>
      <c r="B72" s="11">
        <f>B73+B74</f>
        <v>0</v>
      </c>
      <c r="C72" s="11">
        <f t="shared" ref="C72:W72" si="22">C73+C74</f>
        <v>0</v>
      </c>
      <c r="D72" s="11">
        <f t="shared" si="22"/>
        <v>0</v>
      </c>
      <c r="E72" s="11">
        <f t="shared" si="22"/>
        <v>0</v>
      </c>
      <c r="F72" s="11">
        <f t="shared" si="22"/>
        <v>0</v>
      </c>
      <c r="G72" s="11">
        <f t="shared" si="22"/>
        <v>0</v>
      </c>
      <c r="H72" s="11">
        <f t="shared" si="22"/>
        <v>0</v>
      </c>
      <c r="I72" s="11">
        <f t="shared" si="22"/>
        <v>0</v>
      </c>
      <c r="J72" s="11">
        <f t="shared" si="22"/>
        <v>10</v>
      </c>
      <c r="K72" s="11">
        <f t="shared" si="22"/>
        <v>0</v>
      </c>
      <c r="L72" s="11">
        <f t="shared" si="22"/>
        <v>0</v>
      </c>
      <c r="M72" s="11">
        <f t="shared" si="22"/>
        <v>0</v>
      </c>
      <c r="N72" s="11">
        <f t="shared" si="22"/>
        <v>0</v>
      </c>
      <c r="O72" s="11">
        <f t="shared" si="22"/>
        <v>0</v>
      </c>
      <c r="P72" s="11">
        <f t="shared" si="22"/>
        <v>0</v>
      </c>
      <c r="Q72" s="11">
        <f t="shared" si="22"/>
        <v>10</v>
      </c>
      <c r="R72" s="11">
        <f t="shared" si="22"/>
        <v>0</v>
      </c>
      <c r="S72" s="11">
        <f t="shared" si="22"/>
        <v>0</v>
      </c>
      <c r="T72" s="11">
        <f t="shared" si="22"/>
        <v>0</v>
      </c>
      <c r="U72" s="11">
        <f t="shared" si="22"/>
        <v>35</v>
      </c>
      <c r="V72" s="7">
        <f t="shared" si="22"/>
        <v>40</v>
      </c>
      <c r="W72" s="7">
        <f t="shared" si="22"/>
        <v>0</v>
      </c>
      <c r="X72" s="7">
        <f t="shared" si="21"/>
        <v>95</v>
      </c>
    </row>
    <row r="73" spans="1:24" x14ac:dyDescent="0.25">
      <c r="A73" s="7">
        <v>51</v>
      </c>
      <c r="B73" s="3"/>
      <c r="C73" s="3"/>
      <c r="D73" s="3"/>
      <c r="E73" s="3"/>
      <c r="F73" s="3"/>
      <c r="G73" s="3"/>
      <c r="H73" s="3"/>
      <c r="I73" s="3"/>
      <c r="J73" s="3">
        <v>10</v>
      </c>
      <c r="K73" s="3"/>
      <c r="L73" s="3"/>
      <c r="M73" s="3"/>
      <c r="N73" s="3"/>
      <c r="O73" s="3"/>
      <c r="P73" s="3"/>
      <c r="Q73" s="3">
        <v>10</v>
      </c>
      <c r="R73" s="3"/>
      <c r="S73" s="3"/>
      <c r="T73" s="3"/>
      <c r="U73" s="3">
        <v>35</v>
      </c>
      <c r="V73" s="3">
        <v>40</v>
      </c>
      <c r="W73" s="3"/>
      <c r="X73" s="5">
        <f t="shared" si="21"/>
        <v>95</v>
      </c>
    </row>
    <row r="74" spans="1:24" x14ac:dyDescent="0.25">
      <c r="A74" s="7">
        <v>52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5">
        <f t="shared" si="21"/>
        <v>0</v>
      </c>
    </row>
    <row r="75" spans="1:24" s="2" customFormat="1" x14ac:dyDescent="0.25">
      <c r="A75" s="12" t="s">
        <v>33</v>
      </c>
      <c r="B75" s="12">
        <f t="shared" ref="B75:W75" si="23">B72+B70+B67+B61+B58+B47+B45+B41+B38+B35+B31+B28+B21+B18+B16+B14+B11+B9+B6+B3</f>
        <v>1105</v>
      </c>
      <c r="C75" s="12">
        <f t="shared" si="23"/>
        <v>200</v>
      </c>
      <c r="D75" s="12">
        <f t="shared" si="23"/>
        <v>20</v>
      </c>
      <c r="E75" s="12">
        <f t="shared" si="23"/>
        <v>140</v>
      </c>
      <c r="F75" s="12">
        <f t="shared" si="23"/>
        <v>84</v>
      </c>
      <c r="G75" s="12">
        <f t="shared" si="23"/>
        <v>266</v>
      </c>
      <c r="H75" s="12">
        <f t="shared" si="23"/>
        <v>419</v>
      </c>
      <c r="I75" s="12">
        <f t="shared" si="23"/>
        <v>510</v>
      </c>
      <c r="J75" s="12">
        <f t="shared" si="23"/>
        <v>1195</v>
      </c>
      <c r="K75" s="12">
        <f t="shared" si="23"/>
        <v>674</v>
      </c>
      <c r="L75" s="12">
        <f t="shared" si="23"/>
        <v>132</v>
      </c>
      <c r="M75" s="12">
        <f t="shared" si="23"/>
        <v>595</v>
      </c>
      <c r="N75" s="12">
        <f t="shared" si="23"/>
        <v>2660</v>
      </c>
      <c r="O75" s="12">
        <f t="shared" si="23"/>
        <v>240</v>
      </c>
      <c r="P75" s="12">
        <f t="shared" si="23"/>
        <v>52</v>
      </c>
      <c r="Q75" s="12">
        <f t="shared" si="23"/>
        <v>2507</v>
      </c>
      <c r="R75" s="12">
        <f t="shared" si="23"/>
        <v>216</v>
      </c>
      <c r="S75" s="12">
        <f t="shared" si="23"/>
        <v>1020</v>
      </c>
      <c r="T75" s="12">
        <f t="shared" si="23"/>
        <v>2960</v>
      </c>
      <c r="U75" s="12">
        <f t="shared" si="23"/>
        <v>925</v>
      </c>
      <c r="V75" s="13">
        <f t="shared" si="23"/>
        <v>1390</v>
      </c>
      <c r="W75" s="13">
        <f t="shared" si="23"/>
        <v>18</v>
      </c>
      <c r="X75" s="13">
        <f t="shared" si="21"/>
        <v>17328</v>
      </c>
    </row>
  </sheetData>
  <mergeCells count="1">
    <mergeCell ref="A1:X1"/>
  </mergeCells>
  <pageMargins left="0" right="0" top="0.59055118110236227" bottom="0" header="0.31496062992125984" footer="0.31496062992125984"/>
  <pageSetup paperSize="8" scale="85" fitToHeight="2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90" zoomScaleNormal="9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J75" sqref="J75"/>
    </sheetView>
  </sheetViews>
  <sheetFormatPr defaultRowHeight="15" x14ac:dyDescent="0.25"/>
  <cols>
    <col min="1" max="1" width="4.140625" style="139" customWidth="1"/>
    <col min="2" max="2" width="36.140625" style="139" customWidth="1"/>
    <col min="3" max="3" width="10.42578125" style="141" customWidth="1"/>
    <col min="4" max="4" width="11.42578125" style="141" customWidth="1"/>
    <col min="5" max="5" width="11.5703125" style="141" customWidth="1"/>
    <col min="6" max="6" width="10" style="141" customWidth="1"/>
    <col min="7" max="7" width="10.85546875" style="141" customWidth="1"/>
    <col min="8" max="8" width="10.140625" style="141" customWidth="1"/>
    <col min="9" max="10" width="10.85546875" style="141" customWidth="1"/>
    <col min="11" max="16384" width="9.140625" style="139"/>
  </cols>
  <sheetData>
    <row r="1" spans="1:11" ht="18.75" customHeight="1" x14ac:dyDescent="0.25">
      <c r="A1" s="233" t="s">
        <v>394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1" ht="6.75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</row>
    <row r="3" spans="1:11" ht="18.75" x14ac:dyDescent="0.25">
      <c r="A3" s="140"/>
      <c r="J3" s="142" t="s">
        <v>395</v>
      </c>
    </row>
    <row r="4" spans="1:11" s="144" customFormat="1" ht="15.75" customHeight="1" x14ac:dyDescent="0.2">
      <c r="A4" s="234" t="s">
        <v>48</v>
      </c>
      <c r="B4" s="234" t="s">
        <v>154</v>
      </c>
      <c r="C4" s="235" t="s">
        <v>234</v>
      </c>
      <c r="D4" s="235" t="s">
        <v>396</v>
      </c>
      <c r="E4" s="235" t="s">
        <v>397</v>
      </c>
      <c r="F4" s="235" t="s">
        <v>51</v>
      </c>
      <c r="G4" s="235"/>
      <c r="H4" s="235"/>
      <c r="I4" s="235"/>
      <c r="J4" s="235"/>
      <c r="K4" s="143"/>
    </row>
    <row r="5" spans="1:11" s="144" customFormat="1" ht="84" customHeight="1" x14ac:dyDescent="0.2">
      <c r="A5" s="234"/>
      <c r="B5" s="234"/>
      <c r="C5" s="235"/>
      <c r="D5" s="235"/>
      <c r="E5" s="235"/>
      <c r="F5" s="145" t="s">
        <v>398</v>
      </c>
      <c r="G5" s="145" t="s">
        <v>399</v>
      </c>
      <c r="H5" s="145" t="s">
        <v>400</v>
      </c>
      <c r="I5" s="145" t="s">
        <v>399</v>
      </c>
      <c r="J5" s="145" t="s">
        <v>401</v>
      </c>
      <c r="K5" s="143"/>
    </row>
    <row r="6" spans="1:11" ht="11.25" customHeight="1" x14ac:dyDescent="0.25">
      <c r="A6" s="146">
        <v>1</v>
      </c>
      <c r="B6" s="146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  <c r="I6" s="147">
        <v>9</v>
      </c>
      <c r="J6" s="147">
        <v>10</v>
      </c>
      <c r="K6" s="148"/>
    </row>
    <row r="7" spans="1:11" x14ac:dyDescent="0.25">
      <c r="A7" s="149">
        <v>1</v>
      </c>
      <c r="B7" s="150" t="s">
        <v>57</v>
      </c>
      <c r="C7" s="151">
        <f>D7+E7</f>
        <v>27026</v>
      </c>
      <c r="D7" s="151"/>
      <c r="E7" s="151">
        <f>F7+H7+J7</f>
        <v>27026</v>
      </c>
      <c r="F7" s="151">
        <f>26489+45</f>
        <v>26534</v>
      </c>
      <c r="G7" s="151">
        <f>14+4</f>
        <v>18</v>
      </c>
      <c r="H7" s="151">
        <v>492</v>
      </c>
      <c r="I7" s="151">
        <f>12-11</f>
        <v>1</v>
      </c>
      <c r="J7" s="151"/>
      <c r="K7" s="148"/>
    </row>
    <row r="8" spans="1:11" x14ac:dyDescent="0.25">
      <c r="A8" s="149">
        <v>2</v>
      </c>
      <c r="B8" s="150" t="s">
        <v>58</v>
      </c>
      <c r="C8" s="151">
        <f t="shared" ref="C8:C65" si="0">D8+E8</f>
        <v>11934</v>
      </c>
      <c r="D8" s="151"/>
      <c r="E8" s="151">
        <f t="shared" ref="E8:E65" si="1">F8+H8+J8</f>
        <v>11934</v>
      </c>
      <c r="F8" s="151">
        <f>11914+20</f>
        <v>11934</v>
      </c>
      <c r="G8" s="151">
        <f>2-1</f>
        <v>1</v>
      </c>
      <c r="H8" s="151"/>
      <c r="I8" s="151"/>
      <c r="J8" s="151"/>
      <c r="K8" s="148"/>
    </row>
    <row r="9" spans="1:11" x14ac:dyDescent="0.25">
      <c r="A9" s="149">
        <v>3</v>
      </c>
      <c r="B9" s="150" t="s">
        <v>59</v>
      </c>
      <c r="C9" s="151">
        <f t="shared" si="0"/>
        <v>7419</v>
      </c>
      <c r="D9" s="151"/>
      <c r="E9" s="151">
        <f t="shared" si="1"/>
        <v>7419</v>
      </c>
      <c r="F9" s="151">
        <f>7407+12</f>
        <v>7419</v>
      </c>
      <c r="G9" s="151">
        <f>10+4</f>
        <v>14</v>
      </c>
      <c r="H9" s="151"/>
      <c r="I9" s="151"/>
      <c r="J9" s="151"/>
      <c r="K9" s="148"/>
    </row>
    <row r="10" spans="1:11" x14ac:dyDescent="0.25">
      <c r="A10" s="149">
        <v>4</v>
      </c>
      <c r="B10" s="150" t="s">
        <v>60</v>
      </c>
      <c r="C10" s="151">
        <f t="shared" si="0"/>
        <v>4579</v>
      </c>
      <c r="D10" s="151"/>
      <c r="E10" s="151">
        <f t="shared" si="1"/>
        <v>4579</v>
      </c>
      <c r="F10" s="151">
        <f>4571+8</f>
        <v>4579</v>
      </c>
      <c r="G10" s="151">
        <f>10-7</f>
        <v>3</v>
      </c>
      <c r="H10" s="151"/>
      <c r="I10" s="151"/>
      <c r="J10" s="151"/>
      <c r="K10" s="148"/>
    </row>
    <row r="11" spans="1:11" x14ac:dyDescent="0.25">
      <c r="A11" s="149">
        <v>5</v>
      </c>
      <c r="B11" s="150" t="s">
        <v>61</v>
      </c>
      <c r="C11" s="151">
        <f t="shared" si="0"/>
        <v>8655</v>
      </c>
      <c r="D11" s="151"/>
      <c r="E11" s="151">
        <f t="shared" si="1"/>
        <v>8655</v>
      </c>
      <c r="F11" s="151">
        <f>8641+14</f>
        <v>8655</v>
      </c>
      <c r="G11" s="151">
        <f>4-3</f>
        <v>1</v>
      </c>
      <c r="H11" s="151"/>
      <c r="I11" s="151"/>
      <c r="J11" s="151"/>
      <c r="K11" s="148"/>
    </row>
    <row r="12" spans="1:11" x14ac:dyDescent="0.25">
      <c r="A12" s="149">
        <v>6</v>
      </c>
      <c r="B12" s="150" t="s">
        <v>62</v>
      </c>
      <c r="C12" s="151">
        <f t="shared" si="0"/>
        <v>13266</v>
      </c>
      <c r="D12" s="151"/>
      <c r="E12" s="151">
        <f t="shared" si="1"/>
        <v>13266</v>
      </c>
      <c r="F12" s="151">
        <f>13244+22</f>
        <v>13266</v>
      </c>
      <c r="G12" s="151">
        <f>30-21</f>
        <v>9</v>
      </c>
      <c r="H12" s="151"/>
      <c r="I12" s="151"/>
      <c r="J12" s="151"/>
      <c r="K12" s="148"/>
    </row>
    <row r="13" spans="1:11" x14ac:dyDescent="0.25">
      <c r="A13" s="149">
        <v>7</v>
      </c>
      <c r="B13" s="150" t="s">
        <v>63</v>
      </c>
      <c r="C13" s="151">
        <f t="shared" si="0"/>
        <v>30694</v>
      </c>
      <c r="D13" s="151"/>
      <c r="E13" s="151">
        <f t="shared" si="1"/>
        <v>30694</v>
      </c>
      <c r="F13" s="151">
        <f>30643+51</f>
        <v>30694</v>
      </c>
      <c r="G13" s="151">
        <v>8</v>
      </c>
      <c r="H13" s="151"/>
      <c r="I13" s="151"/>
      <c r="J13" s="151"/>
      <c r="K13" s="148"/>
    </row>
    <row r="14" spans="1:11" x14ac:dyDescent="0.25">
      <c r="A14" s="149">
        <v>8</v>
      </c>
      <c r="B14" s="150" t="s">
        <v>64</v>
      </c>
      <c r="C14" s="151">
        <f t="shared" si="0"/>
        <v>21752</v>
      </c>
      <c r="D14" s="151"/>
      <c r="E14" s="151">
        <f t="shared" si="1"/>
        <v>21752</v>
      </c>
      <c r="F14" s="151">
        <f>21716+36</f>
        <v>21752</v>
      </c>
      <c r="G14" s="151">
        <f>4-3</f>
        <v>1</v>
      </c>
      <c r="H14" s="151"/>
      <c r="I14" s="151"/>
      <c r="J14" s="151"/>
      <c r="K14" s="148"/>
    </row>
    <row r="15" spans="1:11" x14ac:dyDescent="0.25">
      <c r="A15" s="149">
        <v>9</v>
      </c>
      <c r="B15" s="150" t="s">
        <v>65</v>
      </c>
      <c r="C15" s="151">
        <f t="shared" si="0"/>
        <v>12619</v>
      </c>
      <c r="D15" s="151"/>
      <c r="E15" s="151">
        <f t="shared" si="1"/>
        <v>12619</v>
      </c>
      <c r="F15" s="151">
        <f>12598+21</f>
        <v>12619</v>
      </c>
      <c r="G15" s="151">
        <f>3-1</f>
        <v>2</v>
      </c>
      <c r="H15" s="151"/>
      <c r="I15" s="151"/>
      <c r="J15" s="151"/>
      <c r="K15" s="148"/>
    </row>
    <row r="16" spans="1:11" x14ac:dyDescent="0.25">
      <c r="A16" s="149">
        <v>10</v>
      </c>
      <c r="B16" s="150" t="s">
        <v>66</v>
      </c>
      <c r="C16" s="151">
        <f t="shared" si="0"/>
        <v>5441</v>
      </c>
      <c r="D16" s="151"/>
      <c r="E16" s="151">
        <f t="shared" si="1"/>
        <v>5441</v>
      </c>
      <c r="F16" s="151">
        <f>5432+9</f>
        <v>5441</v>
      </c>
      <c r="G16" s="151">
        <f>4-3</f>
        <v>1</v>
      </c>
      <c r="H16" s="151"/>
      <c r="I16" s="151"/>
      <c r="J16" s="151"/>
      <c r="K16" s="148"/>
    </row>
    <row r="17" spans="1:11" x14ac:dyDescent="0.25">
      <c r="A17" s="149">
        <v>11</v>
      </c>
      <c r="B17" s="150" t="s">
        <v>67</v>
      </c>
      <c r="C17" s="151">
        <f t="shared" si="0"/>
        <v>4549</v>
      </c>
      <c r="D17" s="151"/>
      <c r="E17" s="151">
        <f t="shared" si="1"/>
        <v>4549</v>
      </c>
      <c r="F17" s="151">
        <f>2134+7</f>
        <v>2141</v>
      </c>
      <c r="G17" s="151">
        <f>12-11</f>
        <v>1</v>
      </c>
      <c r="H17" s="151">
        <v>2408</v>
      </c>
      <c r="I17" s="151">
        <f>6-4</f>
        <v>2</v>
      </c>
      <c r="J17" s="151"/>
      <c r="K17" s="148"/>
    </row>
    <row r="18" spans="1:11" x14ac:dyDescent="0.25">
      <c r="A18" s="149">
        <v>12</v>
      </c>
      <c r="B18" s="150" t="s">
        <v>68</v>
      </c>
      <c r="C18" s="151">
        <f t="shared" si="0"/>
        <v>17161</v>
      </c>
      <c r="D18" s="151"/>
      <c r="E18" s="151">
        <f t="shared" si="1"/>
        <v>17161</v>
      </c>
      <c r="F18" s="151">
        <f>17132+29</f>
        <v>17161</v>
      </c>
      <c r="G18" s="151">
        <f>12-10</f>
        <v>2</v>
      </c>
      <c r="H18" s="151"/>
      <c r="I18" s="151"/>
      <c r="J18" s="151"/>
      <c r="K18" s="148"/>
    </row>
    <row r="19" spans="1:11" x14ac:dyDescent="0.25">
      <c r="A19" s="149">
        <v>13</v>
      </c>
      <c r="B19" s="150" t="s">
        <v>69</v>
      </c>
      <c r="C19" s="151">
        <f t="shared" si="0"/>
        <v>18143</v>
      </c>
      <c r="D19" s="151"/>
      <c r="E19" s="151">
        <f t="shared" si="1"/>
        <v>18143</v>
      </c>
      <c r="F19" s="151">
        <f>18113+30</f>
        <v>18143</v>
      </c>
      <c r="G19" s="151">
        <f>48-40</f>
        <v>8</v>
      </c>
      <c r="H19" s="151"/>
      <c r="I19" s="151"/>
      <c r="J19" s="151"/>
      <c r="K19" s="148"/>
    </row>
    <row r="20" spans="1:11" x14ac:dyDescent="0.25">
      <c r="A20" s="149">
        <v>14</v>
      </c>
      <c r="B20" s="150" t="s">
        <v>70</v>
      </c>
      <c r="C20" s="151">
        <f t="shared" si="0"/>
        <v>54070</v>
      </c>
      <c r="D20" s="151"/>
      <c r="E20" s="151">
        <f t="shared" si="1"/>
        <v>54070</v>
      </c>
      <c r="F20" s="151">
        <f>53980+90-300</f>
        <v>53770</v>
      </c>
      <c r="G20" s="151">
        <v>30</v>
      </c>
      <c r="H20" s="151">
        <v>300</v>
      </c>
      <c r="I20" s="151"/>
      <c r="J20" s="151"/>
      <c r="K20" s="148"/>
    </row>
    <row r="21" spans="1:11" x14ac:dyDescent="0.25">
      <c r="A21" s="149">
        <v>15</v>
      </c>
      <c r="B21" s="150" t="s">
        <v>72</v>
      </c>
      <c r="C21" s="151">
        <f t="shared" si="0"/>
        <v>13725</v>
      </c>
      <c r="D21" s="151"/>
      <c r="E21" s="151">
        <f t="shared" si="1"/>
        <v>13725</v>
      </c>
      <c r="F21" s="151">
        <f>13702+23</f>
        <v>13725</v>
      </c>
      <c r="G21" s="151">
        <f>15-4</f>
        <v>11</v>
      </c>
      <c r="H21" s="151"/>
      <c r="I21" s="151"/>
      <c r="J21" s="151"/>
      <c r="K21" s="148"/>
    </row>
    <row r="22" spans="1:11" x14ac:dyDescent="0.25">
      <c r="A22" s="149">
        <v>16</v>
      </c>
      <c r="B22" s="150" t="s">
        <v>73</v>
      </c>
      <c r="C22" s="151">
        <f t="shared" si="0"/>
        <v>6414</v>
      </c>
      <c r="D22" s="151"/>
      <c r="E22" s="151">
        <f t="shared" si="1"/>
        <v>6414</v>
      </c>
      <c r="F22" s="151">
        <f>6403+11</f>
        <v>6414</v>
      </c>
      <c r="G22" s="151">
        <f>10-9</f>
        <v>1</v>
      </c>
      <c r="H22" s="151"/>
      <c r="I22" s="151"/>
      <c r="J22" s="151"/>
      <c r="K22" s="148"/>
    </row>
    <row r="23" spans="1:11" x14ac:dyDescent="0.25">
      <c r="A23" s="149">
        <v>17</v>
      </c>
      <c r="B23" s="150" t="s">
        <v>74</v>
      </c>
      <c r="C23" s="151">
        <f t="shared" si="0"/>
        <v>6203</v>
      </c>
      <c r="D23" s="151"/>
      <c r="E23" s="151">
        <f t="shared" si="1"/>
        <v>6203</v>
      </c>
      <c r="F23" s="151">
        <f>6193+10</f>
        <v>6203</v>
      </c>
      <c r="G23" s="151">
        <f>3-3</f>
        <v>0</v>
      </c>
      <c r="H23" s="151"/>
      <c r="I23" s="151"/>
      <c r="J23" s="151"/>
      <c r="K23" s="148"/>
    </row>
    <row r="24" spans="1:11" x14ac:dyDescent="0.25">
      <c r="A24" s="149">
        <v>18</v>
      </c>
      <c r="B24" s="150" t="s">
        <v>75</v>
      </c>
      <c r="C24" s="151">
        <f t="shared" si="0"/>
        <v>7107</v>
      </c>
      <c r="D24" s="151"/>
      <c r="E24" s="151">
        <f t="shared" si="1"/>
        <v>7107</v>
      </c>
      <c r="F24" s="151">
        <f>7095+12</f>
        <v>7107</v>
      </c>
      <c r="G24" s="151">
        <f>14-13</f>
        <v>1</v>
      </c>
      <c r="H24" s="151"/>
      <c r="I24" s="151"/>
      <c r="J24" s="151"/>
      <c r="K24" s="148"/>
    </row>
    <row r="25" spans="1:11" x14ac:dyDescent="0.25">
      <c r="A25" s="149">
        <v>19</v>
      </c>
      <c r="B25" s="150" t="s">
        <v>76</v>
      </c>
      <c r="C25" s="151">
        <f t="shared" si="0"/>
        <v>7252</v>
      </c>
      <c r="D25" s="151"/>
      <c r="E25" s="151">
        <f t="shared" si="1"/>
        <v>7252</v>
      </c>
      <c r="F25" s="151">
        <f>7240+12</f>
        <v>7252</v>
      </c>
      <c r="G25" s="151">
        <f>10-8</f>
        <v>2</v>
      </c>
      <c r="H25" s="151"/>
      <c r="I25" s="151"/>
      <c r="J25" s="151"/>
      <c r="K25" s="148"/>
    </row>
    <row r="26" spans="1:11" x14ac:dyDescent="0.25">
      <c r="A26" s="149">
        <v>20</v>
      </c>
      <c r="B26" s="150" t="s">
        <v>77</v>
      </c>
      <c r="C26" s="151">
        <f t="shared" si="0"/>
        <v>8066</v>
      </c>
      <c r="D26" s="151"/>
      <c r="E26" s="151">
        <f t="shared" si="1"/>
        <v>8066</v>
      </c>
      <c r="F26" s="151">
        <f>8053+13</f>
        <v>8066</v>
      </c>
      <c r="G26" s="151">
        <f>2+4</f>
        <v>6</v>
      </c>
      <c r="H26" s="151"/>
      <c r="I26" s="151"/>
      <c r="J26" s="151"/>
      <c r="K26" s="148"/>
    </row>
    <row r="27" spans="1:11" x14ac:dyDescent="0.25">
      <c r="A27" s="149">
        <v>21</v>
      </c>
      <c r="B27" s="150" t="s">
        <v>78</v>
      </c>
      <c r="C27" s="151">
        <f t="shared" si="0"/>
        <v>7569</v>
      </c>
      <c r="D27" s="151"/>
      <c r="E27" s="151">
        <f t="shared" si="1"/>
        <v>7569</v>
      </c>
      <c r="F27" s="151">
        <f>7556+13</f>
        <v>7569</v>
      </c>
      <c r="G27" s="151">
        <f>3-2</f>
        <v>1</v>
      </c>
      <c r="H27" s="151"/>
      <c r="I27" s="151"/>
      <c r="J27" s="151"/>
      <c r="K27" s="148"/>
    </row>
    <row r="28" spans="1:11" x14ac:dyDescent="0.25">
      <c r="A28" s="149">
        <v>22</v>
      </c>
      <c r="B28" s="150" t="s">
        <v>80</v>
      </c>
      <c r="C28" s="151">
        <f t="shared" si="0"/>
        <v>7517</v>
      </c>
      <c r="D28" s="151"/>
      <c r="E28" s="151">
        <f t="shared" si="1"/>
        <v>7517</v>
      </c>
      <c r="F28" s="151">
        <f>7505+12</f>
        <v>7517</v>
      </c>
      <c r="G28" s="151">
        <f>3-2</f>
        <v>1</v>
      </c>
      <c r="H28" s="151"/>
      <c r="I28" s="151"/>
      <c r="J28" s="151"/>
      <c r="K28" s="148"/>
    </row>
    <row r="29" spans="1:11" x14ac:dyDescent="0.25">
      <c r="A29" s="149">
        <v>23</v>
      </c>
      <c r="B29" s="150" t="s">
        <v>8</v>
      </c>
      <c r="C29" s="151">
        <f t="shared" si="0"/>
        <v>8674</v>
      </c>
      <c r="D29" s="151"/>
      <c r="E29" s="151">
        <f t="shared" si="1"/>
        <v>8674</v>
      </c>
      <c r="F29" s="151">
        <f>8660+14</f>
        <v>8674</v>
      </c>
      <c r="G29" s="151">
        <f>5-3</f>
        <v>2</v>
      </c>
      <c r="H29" s="151"/>
      <c r="I29" s="151"/>
      <c r="J29" s="151"/>
      <c r="K29" s="148"/>
    </row>
    <row r="30" spans="1:11" x14ac:dyDescent="0.25">
      <c r="A30" s="149">
        <v>24</v>
      </c>
      <c r="B30" s="150" t="s">
        <v>81</v>
      </c>
      <c r="C30" s="151">
        <f t="shared" si="0"/>
        <v>5744</v>
      </c>
      <c r="D30" s="151"/>
      <c r="E30" s="151">
        <f t="shared" si="1"/>
        <v>5744</v>
      </c>
      <c r="F30" s="151">
        <f>5734+10</f>
        <v>5744</v>
      </c>
      <c r="G30" s="151">
        <f>3-2</f>
        <v>1</v>
      </c>
      <c r="H30" s="151"/>
      <c r="I30" s="151"/>
      <c r="J30" s="151"/>
      <c r="K30" s="148"/>
    </row>
    <row r="31" spans="1:11" x14ac:dyDescent="0.25">
      <c r="A31" s="149">
        <v>25</v>
      </c>
      <c r="B31" s="150" t="s">
        <v>82</v>
      </c>
      <c r="C31" s="151">
        <f t="shared" si="0"/>
        <v>6886</v>
      </c>
      <c r="D31" s="151"/>
      <c r="E31" s="151">
        <f t="shared" si="1"/>
        <v>6886</v>
      </c>
      <c r="F31" s="151">
        <f>6875+11</f>
        <v>6886</v>
      </c>
      <c r="G31" s="151">
        <f>4-3</f>
        <v>1</v>
      </c>
      <c r="H31" s="151"/>
      <c r="I31" s="151"/>
      <c r="J31" s="151"/>
      <c r="K31" s="148"/>
    </row>
    <row r="32" spans="1:11" x14ac:dyDescent="0.25">
      <c r="A32" s="149">
        <v>26</v>
      </c>
      <c r="B32" s="150" t="s">
        <v>83</v>
      </c>
      <c r="C32" s="151">
        <f t="shared" si="0"/>
        <v>5410</v>
      </c>
      <c r="D32" s="151"/>
      <c r="E32" s="151">
        <f t="shared" si="1"/>
        <v>5410</v>
      </c>
      <c r="F32" s="151">
        <f>5401+9</f>
        <v>5410</v>
      </c>
      <c r="G32" s="151">
        <f>5-4</f>
        <v>1</v>
      </c>
      <c r="H32" s="151"/>
      <c r="I32" s="151"/>
      <c r="J32" s="151"/>
      <c r="K32" s="148"/>
    </row>
    <row r="33" spans="1:11" x14ac:dyDescent="0.25">
      <c r="A33" s="149">
        <v>27</v>
      </c>
      <c r="B33" s="150" t="s">
        <v>84</v>
      </c>
      <c r="C33" s="151">
        <f t="shared" si="0"/>
        <v>7992</v>
      </c>
      <c r="D33" s="151"/>
      <c r="E33" s="151">
        <f t="shared" si="1"/>
        <v>7992</v>
      </c>
      <c r="F33" s="151">
        <f>7979+13</f>
        <v>7992</v>
      </c>
      <c r="G33" s="151">
        <f>2-1</f>
        <v>1</v>
      </c>
      <c r="H33" s="151"/>
      <c r="I33" s="151"/>
      <c r="J33" s="151"/>
      <c r="K33" s="148"/>
    </row>
    <row r="34" spans="1:11" x14ac:dyDescent="0.25">
      <c r="A34" s="149">
        <v>28</v>
      </c>
      <c r="B34" s="150" t="s">
        <v>85</v>
      </c>
      <c r="C34" s="151">
        <f t="shared" si="0"/>
        <v>17675</v>
      </c>
      <c r="D34" s="151"/>
      <c r="E34" s="151">
        <f t="shared" si="1"/>
        <v>17675</v>
      </c>
      <c r="F34" s="151">
        <f>17645+30</f>
        <v>17675</v>
      </c>
      <c r="G34" s="151">
        <f>2-1</f>
        <v>1</v>
      </c>
      <c r="H34" s="151"/>
      <c r="I34" s="151"/>
      <c r="J34" s="151"/>
      <c r="K34" s="148"/>
    </row>
    <row r="35" spans="1:11" x14ac:dyDescent="0.25">
      <c r="A35" s="149">
        <v>29</v>
      </c>
      <c r="B35" s="150" t="s">
        <v>86</v>
      </c>
      <c r="C35" s="151">
        <f t="shared" si="0"/>
        <v>17650</v>
      </c>
      <c r="D35" s="151"/>
      <c r="E35" s="151">
        <f t="shared" si="1"/>
        <v>17650</v>
      </c>
      <c r="F35" s="151">
        <f>17621+29</f>
        <v>17650</v>
      </c>
      <c r="G35" s="151">
        <f>15-3</f>
        <v>12</v>
      </c>
      <c r="H35" s="151"/>
      <c r="I35" s="151"/>
      <c r="J35" s="151"/>
      <c r="K35" s="148"/>
    </row>
    <row r="36" spans="1:11" x14ac:dyDescent="0.25">
      <c r="A36" s="149">
        <v>30</v>
      </c>
      <c r="B36" s="150" t="s">
        <v>87</v>
      </c>
      <c r="C36" s="151">
        <f t="shared" si="0"/>
        <v>9506</v>
      </c>
      <c r="D36" s="151"/>
      <c r="E36" s="151">
        <f t="shared" si="1"/>
        <v>9506</v>
      </c>
      <c r="F36" s="151">
        <f>9490+16</f>
        <v>9506</v>
      </c>
      <c r="G36" s="151">
        <f>8-7</f>
        <v>1</v>
      </c>
      <c r="H36" s="151"/>
      <c r="I36" s="151"/>
      <c r="J36" s="151"/>
      <c r="K36" s="148"/>
    </row>
    <row r="37" spans="1:11" x14ac:dyDescent="0.25">
      <c r="A37" s="149">
        <v>31</v>
      </c>
      <c r="B37" s="150" t="s">
        <v>88</v>
      </c>
      <c r="C37" s="151">
        <f t="shared" si="0"/>
        <v>4665</v>
      </c>
      <c r="D37" s="151"/>
      <c r="E37" s="151">
        <f t="shared" si="1"/>
        <v>4665</v>
      </c>
      <c r="F37" s="151">
        <f>4657+8</f>
        <v>4665</v>
      </c>
      <c r="G37" s="151">
        <f>10-9</f>
        <v>1</v>
      </c>
      <c r="H37" s="151"/>
      <c r="I37" s="151"/>
      <c r="J37" s="151"/>
      <c r="K37" s="148"/>
    </row>
    <row r="38" spans="1:11" ht="30" x14ac:dyDescent="0.25">
      <c r="A38" s="149">
        <v>32</v>
      </c>
      <c r="B38" s="152" t="s">
        <v>402</v>
      </c>
      <c r="C38" s="151">
        <f t="shared" si="0"/>
        <v>89094</v>
      </c>
      <c r="D38" s="151">
        <f>700-190</f>
        <v>510</v>
      </c>
      <c r="E38" s="151">
        <f t="shared" si="1"/>
        <v>88584</v>
      </c>
      <c r="F38" s="151">
        <f>88437+147</f>
        <v>88584</v>
      </c>
      <c r="G38" s="151">
        <f>50-14</f>
        <v>36</v>
      </c>
      <c r="H38" s="151"/>
      <c r="I38" s="151"/>
      <c r="J38" s="151"/>
      <c r="K38" s="148"/>
    </row>
    <row r="39" spans="1:11" x14ac:dyDescent="0.25">
      <c r="A39" s="149">
        <v>33</v>
      </c>
      <c r="B39" s="150" t="s">
        <v>97</v>
      </c>
      <c r="C39" s="151">
        <f t="shared" si="0"/>
        <v>26109</v>
      </c>
      <c r="D39" s="151"/>
      <c r="E39" s="151">
        <f t="shared" si="1"/>
        <v>26109</v>
      </c>
      <c r="F39" s="151">
        <f>23362+43</f>
        <v>23405</v>
      </c>
      <c r="G39" s="151">
        <v>3</v>
      </c>
      <c r="H39" s="151">
        <v>2704</v>
      </c>
      <c r="I39" s="151">
        <f>4+3</f>
        <v>7</v>
      </c>
      <c r="J39" s="151"/>
      <c r="K39" s="148"/>
    </row>
    <row r="40" spans="1:11" x14ac:dyDescent="0.25">
      <c r="A40" s="149">
        <v>34</v>
      </c>
      <c r="B40" s="150" t="s">
        <v>98</v>
      </c>
      <c r="C40" s="151">
        <f t="shared" si="0"/>
        <v>19254</v>
      </c>
      <c r="D40" s="151"/>
      <c r="E40" s="151">
        <f t="shared" si="1"/>
        <v>19254</v>
      </c>
      <c r="F40" s="151">
        <f>19222+32</f>
        <v>19254</v>
      </c>
      <c r="G40" s="151">
        <f>32-22</f>
        <v>10</v>
      </c>
      <c r="H40" s="151"/>
      <c r="I40" s="151"/>
      <c r="J40" s="151"/>
      <c r="K40" s="148"/>
    </row>
    <row r="41" spans="1:11" s="158" customFormat="1" ht="39" customHeight="1" x14ac:dyDescent="0.2">
      <c r="A41" s="153">
        <v>35</v>
      </c>
      <c r="B41" s="154" t="s">
        <v>194</v>
      </c>
      <c r="C41" s="155">
        <f t="shared" si="0"/>
        <v>7080</v>
      </c>
      <c r="D41" s="156"/>
      <c r="E41" s="155">
        <f t="shared" si="1"/>
        <v>7080</v>
      </c>
      <c r="F41" s="156">
        <f>7068+12</f>
        <v>7080</v>
      </c>
      <c r="G41" s="156">
        <f>12-10</f>
        <v>2</v>
      </c>
      <c r="H41" s="156"/>
      <c r="I41" s="156"/>
      <c r="J41" s="156"/>
      <c r="K41" s="157"/>
    </row>
    <row r="42" spans="1:11" x14ac:dyDescent="0.25">
      <c r="A42" s="149">
        <v>36</v>
      </c>
      <c r="B42" s="150" t="s">
        <v>100</v>
      </c>
      <c r="C42" s="151">
        <f t="shared" si="0"/>
        <v>24907</v>
      </c>
      <c r="D42" s="151"/>
      <c r="E42" s="151">
        <f t="shared" si="1"/>
        <v>24907</v>
      </c>
      <c r="F42" s="151">
        <f>24866+41</f>
        <v>24907</v>
      </c>
      <c r="G42" s="151">
        <f>40-38</f>
        <v>2</v>
      </c>
      <c r="H42" s="151"/>
      <c r="I42" s="151"/>
      <c r="J42" s="151"/>
      <c r="K42" s="148"/>
    </row>
    <row r="43" spans="1:11" x14ac:dyDescent="0.25">
      <c r="A43" s="149">
        <v>37</v>
      </c>
      <c r="B43" s="150" t="s">
        <v>101</v>
      </c>
      <c r="C43" s="151">
        <f t="shared" si="0"/>
        <v>41429</v>
      </c>
      <c r="D43" s="151"/>
      <c r="E43" s="151">
        <f t="shared" si="1"/>
        <v>41429</v>
      </c>
      <c r="F43" s="151">
        <f>34355+70</f>
        <v>34425</v>
      </c>
      <c r="G43" s="151"/>
      <c r="H43" s="151">
        <v>7004</v>
      </c>
      <c r="I43" s="151">
        <f>4-1</f>
        <v>3</v>
      </c>
      <c r="J43" s="151"/>
      <c r="K43" s="148"/>
    </row>
    <row r="44" spans="1:11" x14ac:dyDescent="0.25">
      <c r="A44" s="149">
        <v>38</v>
      </c>
      <c r="B44" s="150" t="s">
        <v>105</v>
      </c>
      <c r="C44" s="151">
        <f t="shared" si="0"/>
        <v>8527</v>
      </c>
      <c r="D44" s="151"/>
      <c r="E44" s="151">
        <f t="shared" si="1"/>
        <v>8527</v>
      </c>
      <c r="F44" s="151">
        <f>8513+14</f>
        <v>8527</v>
      </c>
      <c r="G44" s="151">
        <f>9-8</f>
        <v>1</v>
      </c>
      <c r="H44" s="151"/>
      <c r="I44" s="151"/>
      <c r="J44" s="151"/>
      <c r="K44" s="148"/>
    </row>
    <row r="45" spans="1:11" x14ac:dyDescent="0.25">
      <c r="A45" s="149">
        <v>39</v>
      </c>
      <c r="B45" s="150" t="s">
        <v>106</v>
      </c>
      <c r="C45" s="151">
        <f t="shared" si="0"/>
        <v>10423</v>
      </c>
      <c r="D45" s="151"/>
      <c r="E45" s="151">
        <f t="shared" si="1"/>
        <v>10423</v>
      </c>
      <c r="F45" s="151">
        <f>10406+17</f>
        <v>10423</v>
      </c>
      <c r="G45" s="151">
        <f>5-3</f>
        <v>2</v>
      </c>
      <c r="H45" s="151"/>
      <c r="I45" s="151"/>
      <c r="J45" s="151"/>
      <c r="K45" s="148"/>
    </row>
    <row r="46" spans="1:11" x14ac:dyDescent="0.25">
      <c r="A46" s="149">
        <v>40</v>
      </c>
      <c r="B46" s="150" t="s">
        <v>107</v>
      </c>
      <c r="C46" s="151">
        <f t="shared" si="0"/>
        <v>9519</v>
      </c>
      <c r="D46" s="151"/>
      <c r="E46" s="151">
        <f t="shared" si="1"/>
        <v>9519</v>
      </c>
      <c r="F46" s="151">
        <f>9503+16</f>
        <v>9519</v>
      </c>
      <c r="G46" s="151">
        <f>2-1</f>
        <v>1</v>
      </c>
      <c r="H46" s="151"/>
      <c r="I46" s="151"/>
      <c r="J46" s="151"/>
      <c r="K46" s="148"/>
    </row>
    <row r="47" spans="1:11" x14ac:dyDescent="0.25">
      <c r="A47" s="149">
        <v>41</v>
      </c>
      <c r="B47" s="150" t="s">
        <v>108</v>
      </c>
      <c r="C47" s="151">
        <f t="shared" si="0"/>
        <v>6105</v>
      </c>
      <c r="D47" s="151"/>
      <c r="E47" s="151">
        <f t="shared" si="1"/>
        <v>6105</v>
      </c>
      <c r="F47" s="151">
        <f>6095+10</f>
        <v>6105</v>
      </c>
      <c r="G47" s="151">
        <v>6</v>
      </c>
      <c r="H47" s="151"/>
      <c r="I47" s="151"/>
      <c r="J47" s="151"/>
      <c r="K47" s="148"/>
    </row>
    <row r="48" spans="1:11" x14ac:dyDescent="0.25">
      <c r="A48" s="149">
        <v>42</v>
      </c>
      <c r="B48" s="150" t="s">
        <v>109</v>
      </c>
      <c r="C48" s="151">
        <f t="shared" si="0"/>
        <v>10601</v>
      </c>
      <c r="D48" s="151"/>
      <c r="E48" s="151">
        <f t="shared" si="1"/>
        <v>10601</v>
      </c>
      <c r="F48" s="151">
        <f>10583+18</f>
        <v>10601</v>
      </c>
      <c r="G48" s="151">
        <f>10-9</f>
        <v>1</v>
      </c>
      <c r="H48" s="151"/>
      <c r="I48" s="151"/>
      <c r="J48" s="151"/>
      <c r="K48" s="148"/>
    </row>
    <row r="49" spans="1:11" x14ac:dyDescent="0.25">
      <c r="A49" s="149">
        <v>43</v>
      </c>
      <c r="B49" s="150" t="s">
        <v>110</v>
      </c>
      <c r="C49" s="151">
        <f t="shared" si="0"/>
        <v>5071</v>
      </c>
      <c r="D49" s="151"/>
      <c r="E49" s="151">
        <f t="shared" si="1"/>
        <v>5071</v>
      </c>
      <c r="F49" s="151">
        <f>5063+8</f>
        <v>5071</v>
      </c>
      <c r="G49" s="151">
        <f>7-5</f>
        <v>2</v>
      </c>
      <c r="H49" s="151"/>
      <c r="I49" s="151"/>
      <c r="J49" s="151"/>
      <c r="K49" s="148"/>
    </row>
    <row r="50" spans="1:11" x14ac:dyDescent="0.25">
      <c r="A50" s="149">
        <v>44</v>
      </c>
      <c r="B50" s="150" t="s">
        <v>112</v>
      </c>
      <c r="C50" s="151">
        <f t="shared" si="0"/>
        <v>37841</v>
      </c>
      <c r="D50" s="151"/>
      <c r="E50" s="151">
        <f t="shared" si="1"/>
        <v>37841</v>
      </c>
      <c r="F50" s="151">
        <f>34546+63</f>
        <v>34609</v>
      </c>
      <c r="G50" s="151">
        <f>25-4</f>
        <v>21</v>
      </c>
      <c r="H50" s="151">
        <v>3232</v>
      </c>
      <c r="I50" s="151">
        <f>15-9</f>
        <v>6</v>
      </c>
      <c r="J50" s="151"/>
      <c r="K50" s="148"/>
    </row>
    <row r="51" spans="1:11" x14ac:dyDescent="0.25">
      <c r="A51" s="149">
        <v>45</v>
      </c>
      <c r="B51" s="150" t="s">
        <v>113</v>
      </c>
      <c r="C51" s="151">
        <f t="shared" si="0"/>
        <v>31227</v>
      </c>
      <c r="D51" s="151"/>
      <c r="E51" s="151">
        <f t="shared" si="1"/>
        <v>31227</v>
      </c>
      <c r="F51" s="151">
        <f>31175+52</f>
        <v>31227</v>
      </c>
      <c r="G51" s="151">
        <f>16-3</f>
        <v>13</v>
      </c>
      <c r="H51" s="151"/>
      <c r="I51" s="151"/>
      <c r="J51" s="151"/>
      <c r="K51" s="148"/>
    </row>
    <row r="52" spans="1:11" x14ac:dyDescent="0.25">
      <c r="A52" s="149">
        <v>46</v>
      </c>
      <c r="B52" s="150" t="s">
        <v>114</v>
      </c>
      <c r="C52" s="151">
        <f t="shared" si="0"/>
        <v>8641</v>
      </c>
      <c r="D52" s="151"/>
      <c r="E52" s="151">
        <f t="shared" si="1"/>
        <v>8641</v>
      </c>
      <c r="F52" s="151">
        <f>8627+14</f>
        <v>8641</v>
      </c>
      <c r="G52" s="151">
        <f>12-8</f>
        <v>4</v>
      </c>
      <c r="H52" s="151"/>
      <c r="I52" s="151"/>
      <c r="J52" s="151"/>
      <c r="K52" s="148"/>
    </row>
    <row r="53" spans="1:11" x14ac:dyDescent="0.25">
      <c r="A53" s="149">
        <v>47</v>
      </c>
      <c r="B53" s="150" t="s">
        <v>115</v>
      </c>
      <c r="C53" s="151">
        <f t="shared" si="0"/>
        <v>9956</v>
      </c>
      <c r="D53" s="151"/>
      <c r="E53" s="151">
        <f t="shared" si="1"/>
        <v>9956</v>
      </c>
      <c r="F53" s="151">
        <f>9939+17</f>
        <v>9956</v>
      </c>
      <c r="G53" s="151">
        <f>8-5</f>
        <v>3</v>
      </c>
      <c r="H53" s="151"/>
      <c r="I53" s="151"/>
      <c r="J53" s="151"/>
      <c r="K53" s="148"/>
    </row>
    <row r="54" spans="1:11" x14ac:dyDescent="0.25">
      <c r="A54" s="149">
        <v>48</v>
      </c>
      <c r="B54" s="150" t="s">
        <v>116</v>
      </c>
      <c r="C54" s="151">
        <f t="shared" si="0"/>
        <v>6759</v>
      </c>
      <c r="D54" s="151"/>
      <c r="E54" s="151">
        <f t="shared" si="1"/>
        <v>6759</v>
      </c>
      <c r="F54" s="151">
        <f>6748+11</f>
        <v>6759</v>
      </c>
      <c r="G54" s="151">
        <v>6</v>
      </c>
      <c r="H54" s="151"/>
      <c r="I54" s="151"/>
      <c r="J54" s="151"/>
      <c r="K54" s="148"/>
    </row>
    <row r="55" spans="1:11" x14ac:dyDescent="0.25">
      <c r="A55" s="149">
        <v>49</v>
      </c>
      <c r="B55" s="150" t="s">
        <v>403</v>
      </c>
      <c r="C55" s="151">
        <f t="shared" si="0"/>
        <v>363568</v>
      </c>
      <c r="D55" s="159">
        <f>2900-260</f>
        <v>2640</v>
      </c>
      <c r="E55" s="151">
        <f t="shared" si="1"/>
        <v>360928</v>
      </c>
      <c r="F55" s="159">
        <f>280908+600</f>
        <v>281508</v>
      </c>
      <c r="G55" s="159">
        <f>10+5</f>
        <v>15</v>
      </c>
      <c r="H55" s="159">
        <v>55070</v>
      </c>
      <c r="I55" s="159">
        <f>70-24</f>
        <v>46</v>
      </c>
      <c r="J55" s="159">
        <v>24350</v>
      </c>
    </row>
    <row r="56" spans="1:11" x14ac:dyDescent="0.25">
      <c r="A56" s="149">
        <v>50</v>
      </c>
      <c r="B56" s="150" t="s">
        <v>127</v>
      </c>
      <c r="C56" s="151">
        <f t="shared" si="0"/>
        <v>14731</v>
      </c>
      <c r="D56" s="159"/>
      <c r="E56" s="151">
        <f t="shared" si="1"/>
        <v>14731</v>
      </c>
      <c r="F56" s="159">
        <f>14707+24</f>
        <v>14731</v>
      </c>
      <c r="G56" s="159">
        <f>8-6</f>
        <v>2</v>
      </c>
      <c r="H56" s="159"/>
      <c r="I56" s="159"/>
      <c r="J56" s="159"/>
    </row>
    <row r="57" spans="1:11" x14ac:dyDescent="0.25">
      <c r="A57" s="149">
        <v>51</v>
      </c>
      <c r="B57" s="150" t="s">
        <v>128</v>
      </c>
      <c r="C57" s="151">
        <f t="shared" si="0"/>
        <v>5822</v>
      </c>
      <c r="D57" s="159"/>
      <c r="E57" s="151">
        <f t="shared" si="1"/>
        <v>5822</v>
      </c>
      <c r="F57" s="159">
        <f>5812+10</f>
        <v>5822</v>
      </c>
      <c r="G57" s="159">
        <f>8-7</f>
        <v>1</v>
      </c>
      <c r="H57" s="159"/>
      <c r="I57" s="159"/>
      <c r="J57" s="159"/>
    </row>
    <row r="58" spans="1:11" x14ac:dyDescent="0.25">
      <c r="A58" s="149">
        <v>52</v>
      </c>
      <c r="B58" s="150" t="s">
        <v>129</v>
      </c>
      <c r="C58" s="151">
        <f t="shared" si="0"/>
        <v>8530</v>
      </c>
      <c r="D58" s="159"/>
      <c r="E58" s="151">
        <f t="shared" si="1"/>
        <v>8530</v>
      </c>
      <c r="F58" s="159">
        <f>7891+14</f>
        <v>7905</v>
      </c>
      <c r="G58" s="159">
        <f>4-1</f>
        <v>3</v>
      </c>
      <c r="H58" s="159">
        <v>625</v>
      </c>
      <c r="I58" s="159">
        <v>3</v>
      </c>
      <c r="J58" s="159"/>
    </row>
    <row r="59" spans="1:11" x14ac:dyDescent="0.25">
      <c r="A59" s="149">
        <v>53</v>
      </c>
      <c r="B59" s="150" t="s">
        <v>130</v>
      </c>
      <c r="C59" s="151">
        <f t="shared" si="0"/>
        <v>15087</v>
      </c>
      <c r="D59" s="159"/>
      <c r="E59" s="151">
        <f t="shared" si="1"/>
        <v>15087</v>
      </c>
      <c r="F59" s="159">
        <f>15062+25</f>
        <v>15087</v>
      </c>
      <c r="G59" s="159">
        <v>3</v>
      </c>
      <c r="H59" s="159"/>
      <c r="I59" s="159"/>
      <c r="J59" s="159"/>
    </row>
    <row r="60" spans="1:11" x14ac:dyDescent="0.25">
      <c r="A60" s="149">
        <v>54</v>
      </c>
      <c r="B60" s="150" t="s">
        <v>131</v>
      </c>
      <c r="C60" s="151">
        <f t="shared" si="0"/>
        <v>14325</v>
      </c>
      <c r="D60" s="159"/>
      <c r="E60" s="151">
        <f t="shared" si="1"/>
        <v>14325</v>
      </c>
      <c r="F60" s="159">
        <f>14301+24</f>
        <v>14325</v>
      </c>
      <c r="G60" s="159">
        <f>7-6</f>
        <v>1</v>
      </c>
      <c r="H60" s="159"/>
      <c r="I60" s="159"/>
      <c r="J60" s="159"/>
    </row>
    <row r="61" spans="1:11" x14ac:dyDescent="0.25">
      <c r="A61" s="149">
        <v>55</v>
      </c>
      <c r="B61" s="150" t="s">
        <v>132</v>
      </c>
      <c r="C61" s="151">
        <f t="shared" si="0"/>
        <v>8423</v>
      </c>
      <c r="D61" s="159"/>
      <c r="E61" s="151">
        <f t="shared" si="1"/>
        <v>8423</v>
      </c>
      <c r="F61" s="159">
        <f>8409+14</f>
        <v>8423</v>
      </c>
      <c r="G61" s="159">
        <f>2-1</f>
        <v>1</v>
      </c>
      <c r="H61" s="159"/>
      <c r="I61" s="159"/>
      <c r="J61" s="159"/>
    </row>
    <row r="62" spans="1:11" x14ac:dyDescent="0.25">
      <c r="A62" s="149">
        <v>56</v>
      </c>
      <c r="B62" s="150" t="s">
        <v>133</v>
      </c>
      <c r="C62" s="151">
        <f t="shared" si="0"/>
        <v>6364</v>
      </c>
      <c r="D62" s="159"/>
      <c r="E62" s="151">
        <f t="shared" si="1"/>
        <v>6364</v>
      </c>
      <c r="F62" s="159">
        <f>6353+11</f>
        <v>6364</v>
      </c>
      <c r="G62" s="159">
        <f>3-2</f>
        <v>1</v>
      </c>
      <c r="H62" s="159"/>
      <c r="I62" s="159"/>
      <c r="J62" s="159"/>
    </row>
    <row r="63" spans="1:11" x14ac:dyDescent="0.25">
      <c r="A63" s="149">
        <v>57</v>
      </c>
      <c r="B63" s="150" t="s">
        <v>134</v>
      </c>
      <c r="C63" s="151">
        <f t="shared" si="0"/>
        <v>9050</v>
      </c>
      <c r="D63" s="159"/>
      <c r="E63" s="151">
        <f t="shared" si="1"/>
        <v>9050</v>
      </c>
      <c r="F63" s="159">
        <f>9035+15</f>
        <v>9050</v>
      </c>
      <c r="G63" s="159">
        <f>2-1</f>
        <v>1</v>
      </c>
      <c r="H63" s="159"/>
      <c r="I63" s="159"/>
      <c r="J63" s="159"/>
    </row>
    <row r="64" spans="1:11" x14ac:dyDescent="0.25">
      <c r="A64" s="149">
        <v>58</v>
      </c>
      <c r="B64" s="150" t="s">
        <v>135</v>
      </c>
      <c r="C64" s="151">
        <f t="shared" si="0"/>
        <v>15408</v>
      </c>
      <c r="D64" s="159"/>
      <c r="E64" s="151">
        <f t="shared" si="1"/>
        <v>15408</v>
      </c>
      <c r="F64" s="159">
        <f>15382+26</f>
        <v>15408</v>
      </c>
      <c r="G64" s="159">
        <f>10-5</f>
        <v>5</v>
      </c>
      <c r="H64" s="159"/>
      <c r="I64" s="159"/>
      <c r="J64" s="159"/>
    </row>
    <row r="65" spans="1:10" x14ac:dyDescent="0.25">
      <c r="A65" s="149">
        <v>59</v>
      </c>
      <c r="B65" s="150" t="s">
        <v>136</v>
      </c>
      <c r="C65" s="151">
        <f t="shared" si="0"/>
        <v>7260</v>
      </c>
      <c r="D65" s="159"/>
      <c r="E65" s="151">
        <f t="shared" si="1"/>
        <v>7260</v>
      </c>
      <c r="F65" s="159">
        <f>7248+12</f>
        <v>7260</v>
      </c>
      <c r="G65" s="159">
        <f>3-1</f>
        <v>2</v>
      </c>
      <c r="H65" s="159"/>
      <c r="I65" s="159"/>
      <c r="J65" s="159"/>
    </row>
    <row r="66" spans="1:10" ht="30" x14ac:dyDescent="0.25">
      <c r="A66" s="149"/>
      <c r="B66" s="152" t="s">
        <v>404</v>
      </c>
      <c r="C66" s="151">
        <f>E66</f>
        <v>14617</v>
      </c>
      <c r="D66" s="159"/>
      <c r="E66" s="151">
        <f>16617-2000</f>
        <v>14617</v>
      </c>
      <c r="F66" s="159"/>
      <c r="G66" s="159"/>
      <c r="H66" s="159"/>
      <c r="I66" s="159"/>
      <c r="J66" s="159"/>
    </row>
    <row r="67" spans="1:10" s="163" customFormat="1" ht="14.25" x14ac:dyDescent="0.2">
      <c r="A67" s="160"/>
      <c r="B67" s="161" t="s">
        <v>12</v>
      </c>
      <c r="C67" s="162">
        <f>SUM(C7:C66)</f>
        <v>1221091</v>
      </c>
      <c r="D67" s="162">
        <f t="shared" ref="D67:J67" si="2">SUM(D7:D65)</f>
        <v>3150</v>
      </c>
      <c r="E67" s="162">
        <f>SUM(E7:E66)</f>
        <v>1217941</v>
      </c>
      <c r="F67" s="162">
        <f t="shared" si="2"/>
        <v>1107139</v>
      </c>
      <c r="G67" s="162">
        <f t="shared" si="2"/>
        <v>291</v>
      </c>
      <c r="H67" s="162">
        <f t="shared" si="2"/>
        <v>71835</v>
      </c>
      <c r="I67" s="162">
        <f t="shared" si="2"/>
        <v>68</v>
      </c>
      <c r="J67" s="162">
        <f t="shared" si="2"/>
        <v>24350</v>
      </c>
    </row>
  </sheetData>
  <mergeCells count="7">
    <mergeCell ref="A1:J2"/>
    <mergeCell ref="A4:A5"/>
    <mergeCell ref="B4:B5"/>
    <mergeCell ref="C4:C5"/>
    <mergeCell ref="D4:D5"/>
    <mergeCell ref="E4:E5"/>
    <mergeCell ref="F4:J4"/>
  </mergeCells>
  <pageMargins left="0.51181102362204722" right="0" top="0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="90" zoomScaleNormal="90" workbookViewId="0">
      <pane xSplit="2" ySplit="6" topLeftCell="C91" activePane="bottomRight" state="frozen"/>
      <selection pane="topRight" activeCell="C1" sqref="C1"/>
      <selection pane="bottomLeft" activeCell="A7" sqref="A7"/>
      <selection pane="bottomRight" activeCell="E102" sqref="E102"/>
    </sheetView>
  </sheetViews>
  <sheetFormatPr defaultRowHeight="15" x14ac:dyDescent="0.25"/>
  <cols>
    <col min="1" max="1" width="5.42578125" style="15" customWidth="1"/>
    <col min="2" max="2" width="39.28515625" style="15" customWidth="1"/>
    <col min="3" max="3" width="15.42578125" style="15" customWidth="1"/>
    <col min="4" max="4" width="13.140625" style="14" customWidth="1"/>
    <col min="5" max="5" width="12.5703125" style="14" customWidth="1"/>
    <col min="6" max="6" width="14.140625" style="14" customWidth="1"/>
    <col min="7" max="7" width="14.28515625" style="14" customWidth="1"/>
    <col min="8" max="8" width="9.140625" style="14"/>
    <col min="9" max="16384" width="9.140625" style="15"/>
  </cols>
  <sheetData>
    <row r="1" spans="1:8" ht="24.75" customHeight="1" x14ac:dyDescent="0.25">
      <c r="A1" s="170" t="s">
        <v>46</v>
      </c>
      <c r="B1" s="171"/>
      <c r="C1" s="171"/>
      <c r="D1" s="171"/>
      <c r="E1" s="171"/>
      <c r="F1" s="171"/>
      <c r="G1" s="171"/>
    </row>
    <row r="2" spans="1:8" ht="18.75" customHeight="1" x14ac:dyDescent="0.25">
      <c r="A2" s="16"/>
      <c r="E2" s="172" t="s">
        <v>47</v>
      </c>
      <c r="F2" s="172"/>
      <c r="G2" s="172"/>
    </row>
    <row r="3" spans="1:8" s="18" customFormat="1" ht="17.25" customHeight="1" x14ac:dyDescent="0.2">
      <c r="A3" s="173" t="s">
        <v>48</v>
      </c>
      <c r="B3" s="173" t="s">
        <v>49</v>
      </c>
      <c r="C3" s="173" t="s">
        <v>50</v>
      </c>
      <c r="D3" s="176" t="s">
        <v>51</v>
      </c>
      <c r="E3" s="176"/>
      <c r="F3" s="176"/>
      <c r="G3" s="176"/>
      <c r="H3" s="17"/>
    </row>
    <row r="4" spans="1:8" s="20" customFormat="1" ht="15" customHeight="1" x14ac:dyDescent="0.25">
      <c r="A4" s="174"/>
      <c r="B4" s="174"/>
      <c r="C4" s="174"/>
      <c r="D4" s="177" t="s">
        <v>52</v>
      </c>
      <c r="E4" s="177" t="s">
        <v>53</v>
      </c>
      <c r="F4" s="179" t="s">
        <v>54</v>
      </c>
      <c r="G4" s="180"/>
      <c r="H4" s="19"/>
    </row>
    <row r="5" spans="1:8" s="20" customFormat="1" ht="46.5" customHeight="1" x14ac:dyDescent="0.25">
      <c r="A5" s="175"/>
      <c r="B5" s="175"/>
      <c r="C5" s="175"/>
      <c r="D5" s="178"/>
      <c r="E5" s="178"/>
      <c r="F5" s="21" t="s">
        <v>55</v>
      </c>
      <c r="G5" s="22" t="s">
        <v>56</v>
      </c>
      <c r="H5" s="19"/>
    </row>
    <row r="6" spans="1:8" s="26" customFormat="1" ht="15.75" x14ac:dyDescent="0.25">
      <c r="A6" s="23">
        <v>1</v>
      </c>
      <c r="B6" s="23">
        <v>2</v>
      </c>
      <c r="C6" s="23">
        <v>3</v>
      </c>
      <c r="D6" s="24">
        <v>4</v>
      </c>
      <c r="E6" s="24">
        <v>5</v>
      </c>
      <c r="F6" s="23">
        <v>6</v>
      </c>
      <c r="G6" s="23">
        <v>7</v>
      </c>
      <c r="H6" s="25"/>
    </row>
    <row r="7" spans="1:8" s="26" customFormat="1" ht="15.75" x14ac:dyDescent="0.25">
      <c r="A7" s="27">
        <v>1</v>
      </c>
      <c r="B7" s="28" t="s">
        <v>57</v>
      </c>
      <c r="C7" s="29">
        <f>D7+E7+G7</f>
        <v>14282</v>
      </c>
      <c r="D7" s="29"/>
      <c r="E7" s="29">
        <v>14282</v>
      </c>
      <c r="F7" s="29"/>
      <c r="G7" s="29"/>
      <c r="H7" s="25"/>
    </row>
    <row r="8" spans="1:8" s="26" customFormat="1" ht="15.75" x14ac:dyDescent="0.25">
      <c r="A8" s="27">
        <v>2</v>
      </c>
      <c r="B8" s="28" t="s">
        <v>58</v>
      </c>
      <c r="C8" s="29">
        <f t="shared" ref="C8:C72" si="0">D8+E8+G8</f>
        <v>4505</v>
      </c>
      <c r="D8" s="29"/>
      <c r="E8" s="29">
        <v>4505</v>
      </c>
      <c r="F8" s="29"/>
      <c r="G8" s="29"/>
      <c r="H8" s="25"/>
    </row>
    <row r="9" spans="1:8" s="26" customFormat="1" ht="15.75" x14ac:dyDescent="0.25">
      <c r="A9" s="27">
        <v>3</v>
      </c>
      <c r="B9" s="28" t="s">
        <v>59</v>
      </c>
      <c r="C9" s="29">
        <f t="shared" si="0"/>
        <v>2417</v>
      </c>
      <c r="D9" s="29"/>
      <c r="E9" s="29">
        <f>2456-39</f>
        <v>2417</v>
      </c>
      <c r="F9" s="29"/>
      <c r="G9" s="29"/>
      <c r="H9" s="25"/>
    </row>
    <row r="10" spans="1:8" s="26" customFormat="1" ht="15.75" x14ac:dyDescent="0.25">
      <c r="A10" s="27">
        <v>4</v>
      </c>
      <c r="B10" s="28" t="s">
        <v>60</v>
      </c>
      <c r="C10" s="29">
        <f t="shared" si="0"/>
        <v>1706</v>
      </c>
      <c r="D10" s="29"/>
      <c r="E10" s="29">
        <v>1706</v>
      </c>
      <c r="F10" s="29"/>
      <c r="G10" s="29"/>
      <c r="H10" s="25"/>
    </row>
    <row r="11" spans="1:8" s="26" customFormat="1" ht="15.75" x14ac:dyDescent="0.25">
      <c r="A11" s="27">
        <v>5</v>
      </c>
      <c r="B11" s="28" t="s">
        <v>61</v>
      </c>
      <c r="C11" s="29">
        <f t="shared" si="0"/>
        <v>3252</v>
      </c>
      <c r="D11" s="29"/>
      <c r="E11" s="29">
        <v>3252</v>
      </c>
      <c r="F11" s="29"/>
      <c r="G11" s="29"/>
      <c r="H11" s="25"/>
    </row>
    <row r="12" spans="1:8" s="26" customFormat="1" ht="15.75" x14ac:dyDescent="0.25">
      <c r="A12" s="27">
        <v>6</v>
      </c>
      <c r="B12" s="28" t="s">
        <v>62</v>
      </c>
      <c r="C12" s="29">
        <f t="shared" si="0"/>
        <v>4512</v>
      </c>
      <c r="D12" s="29"/>
      <c r="E12" s="29">
        <v>4512</v>
      </c>
      <c r="F12" s="29"/>
      <c r="G12" s="29"/>
      <c r="H12" s="25"/>
    </row>
    <row r="13" spans="1:8" s="26" customFormat="1" ht="15.75" x14ac:dyDescent="0.25">
      <c r="A13" s="27">
        <v>7</v>
      </c>
      <c r="B13" s="28" t="s">
        <v>63</v>
      </c>
      <c r="C13" s="29">
        <f t="shared" si="0"/>
        <v>19154</v>
      </c>
      <c r="D13" s="29"/>
      <c r="E13" s="29">
        <f>18985+190-1-20</f>
        <v>19154</v>
      </c>
      <c r="F13" s="29"/>
      <c r="G13" s="29"/>
      <c r="H13" s="25"/>
    </row>
    <row r="14" spans="1:8" s="26" customFormat="1" ht="15.75" x14ac:dyDescent="0.25">
      <c r="A14" s="27">
        <v>8</v>
      </c>
      <c r="B14" s="28" t="s">
        <v>64</v>
      </c>
      <c r="C14" s="29">
        <f t="shared" si="0"/>
        <v>9552</v>
      </c>
      <c r="D14" s="29"/>
      <c r="E14" s="29">
        <v>9552</v>
      </c>
      <c r="F14" s="29"/>
      <c r="G14" s="29"/>
      <c r="H14" s="25"/>
    </row>
    <row r="15" spans="1:8" s="26" customFormat="1" ht="15.75" x14ac:dyDescent="0.25">
      <c r="A15" s="27">
        <v>9</v>
      </c>
      <c r="B15" s="28" t="s">
        <v>65</v>
      </c>
      <c r="C15" s="29">
        <f t="shared" si="0"/>
        <v>4328</v>
      </c>
      <c r="D15" s="29"/>
      <c r="E15" s="29">
        <v>4328</v>
      </c>
      <c r="F15" s="29"/>
      <c r="G15" s="29"/>
      <c r="H15" s="25"/>
    </row>
    <row r="16" spans="1:8" s="26" customFormat="1" ht="15.75" x14ac:dyDescent="0.25">
      <c r="A16" s="27">
        <v>10</v>
      </c>
      <c r="B16" s="28" t="s">
        <v>66</v>
      </c>
      <c r="C16" s="29">
        <f t="shared" si="0"/>
        <v>1785</v>
      </c>
      <c r="D16" s="29"/>
      <c r="E16" s="29">
        <v>1785</v>
      </c>
      <c r="F16" s="29"/>
      <c r="G16" s="29"/>
      <c r="H16" s="25"/>
    </row>
    <row r="17" spans="1:8" s="26" customFormat="1" ht="15.75" x14ac:dyDescent="0.25">
      <c r="A17" s="27">
        <v>11</v>
      </c>
      <c r="B17" s="28" t="s">
        <v>67</v>
      </c>
      <c r="C17" s="29">
        <f t="shared" si="0"/>
        <v>2609</v>
      </c>
      <c r="D17" s="29"/>
      <c r="E17" s="29">
        <v>2609</v>
      </c>
      <c r="F17" s="29"/>
      <c r="G17" s="29"/>
      <c r="H17" s="25"/>
    </row>
    <row r="18" spans="1:8" s="26" customFormat="1" ht="15.75" x14ac:dyDescent="0.25">
      <c r="A18" s="27">
        <v>12</v>
      </c>
      <c r="B18" s="28" t="s">
        <v>68</v>
      </c>
      <c r="C18" s="29">
        <f t="shared" si="0"/>
        <v>9269</v>
      </c>
      <c r="D18" s="29"/>
      <c r="E18" s="29">
        <v>9269</v>
      </c>
      <c r="F18" s="29"/>
      <c r="G18" s="29"/>
      <c r="H18" s="25"/>
    </row>
    <row r="19" spans="1:8" s="26" customFormat="1" ht="15.75" x14ac:dyDescent="0.25">
      <c r="A19" s="27">
        <v>13</v>
      </c>
      <c r="B19" s="28" t="s">
        <v>69</v>
      </c>
      <c r="C19" s="29">
        <f t="shared" si="0"/>
        <v>8206</v>
      </c>
      <c r="D19" s="29"/>
      <c r="E19" s="29">
        <v>8206</v>
      </c>
      <c r="F19" s="29"/>
      <c r="G19" s="29"/>
      <c r="H19" s="25"/>
    </row>
    <row r="20" spans="1:8" s="26" customFormat="1" ht="15.75" x14ac:dyDescent="0.25">
      <c r="A20" s="27">
        <v>14</v>
      </c>
      <c r="B20" s="28" t="s">
        <v>70</v>
      </c>
      <c r="C20" s="29">
        <f t="shared" si="0"/>
        <v>23517</v>
      </c>
      <c r="D20" s="29"/>
      <c r="E20" s="29">
        <v>23517</v>
      </c>
      <c r="F20" s="29"/>
      <c r="G20" s="29"/>
      <c r="H20" s="25"/>
    </row>
    <row r="21" spans="1:8" s="26" customFormat="1" ht="36" x14ac:dyDescent="0.25">
      <c r="A21" s="27">
        <v>15</v>
      </c>
      <c r="B21" s="30" t="s">
        <v>71</v>
      </c>
      <c r="C21" s="29">
        <f t="shared" si="0"/>
        <v>1493</v>
      </c>
      <c r="D21" s="29"/>
      <c r="E21" s="29">
        <v>1493</v>
      </c>
      <c r="F21" s="29"/>
      <c r="G21" s="29"/>
      <c r="H21" s="25"/>
    </row>
    <row r="22" spans="1:8" s="26" customFormat="1" ht="15.75" x14ac:dyDescent="0.25">
      <c r="A22" s="27">
        <v>16</v>
      </c>
      <c r="B22" s="28" t="s">
        <v>72</v>
      </c>
      <c r="C22" s="29">
        <f t="shared" si="0"/>
        <v>5483</v>
      </c>
      <c r="D22" s="29"/>
      <c r="E22" s="29">
        <v>5483</v>
      </c>
      <c r="F22" s="29"/>
      <c r="G22" s="29"/>
      <c r="H22" s="25"/>
    </row>
    <row r="23" spans="1:8" s="26" customFormat="1" ht="15.75" x14ac:dyDescent="0.25">
      <c r="A23" s="27">
        <v>17</v>
      </c>
      <c r="B23" s="28" t="s">
        <v>73</v>
      </c>
      <c r="C23" s="29">
        <f t="shared" si="0"/>
        <v>2417</v>
      </c>
      <c r="D23" s="29"/>
      <c r="E23" s="29">
        <v>2417</v>
      </c>
      <c r="F23" s="29"/>
      <c r="G23" s="29"/>
      <c r="H23" s="25"/>
    </row>
    <row r="24" spans="1:8" s="26" customFormat="1" ht="15.75" x14ac:dyDescent="0.25">
      <c r="A24" s="27">
        <v>18</v>
      </c>
      <c r="B24" s="28" t="s">
        <v>74</v>
      </c>
      <c r="C24" s="29">
        <f t="shared" si="0"/>
        <v>1946</v>
      </c>
      <c r="D24" s="29"/>
      <c r="E24" s="29">
        <v>1946</v>
      </c>
      <c r="F24" s="29"/>
      <c r="G24" s="29"/>
      <c r="H24" s="25"/>
    </row>
    <row r="25" spans="1:8" s="26" customFormat="1" ht="15.75" x14ac:dyDescent="0.25">
      <c r="A25" s="27">
        <v>19</v>
      </c>
      <c r="B25" s="28" t="s">
        <v>75</v>
      </c>
      <c r="C25" s="29">
        <f t="shared" si="0"/>
        <v>2146</v>
      </c>
      <c r="D25" s="29"/>
      <c r="E25" s="29">
        <v>2146</v>
      </c>
      <c r="F25" s="29"/>
      <c r="G25" s="29"/>
      <c r="H25" s="25"/>
    </row>
    <row r="26" spans="1:8" s="26" customFormat="1" ht="15.75" x14ac:dyDescent="0.25">
      <c r="A26" s="27">
        <v>20</v>
      </c>
      <c r="B26" s="28" t="s">
        <v>76</v>
      </c>
      <c r="C26" s="29">
        <f t="shared" si="0"/>
        <v>2583</v>
      </c>
      <c r="D26" s="29"/>
      <c r="E26" s="29">
        <v>2583</v>
      </c>
      <c r="F26" s="29"/>
      <c r="G26" s="29"/>
      <c r="H26" s="25"/>
    </row>
    <row r="27" spans="1:8" s="26" customFormat="1" ht="15.75" x14ac:dyDescent="0.25">
      <c r="A27" s="27">
        <v>21</v>
      </c>
      <c r="B27" s="28" t="s">
        <v>77</v>
      </c>
      <c r="C27" s="29">
        <f t="shared" si="0"/>
        <v>2109</v>
      </c>
      <c r="D27" s="29"/>
      <c r="E27" s="29">
        <v>2109</v>
      </c>
      <c r="F27" s="29"/>
      <c r="G27" s="29"/>
      <c r="H27" s="25"/>
    </row>
    <row r="28" spans="1:8" s="26" customFormat="1" ht="15.75" x14ac:dyDescent="0.25">
      <c r="A28" s="27">
        <v>22</v>
      </c>
      <c r="B28" s="28" t="s">
        <v>78</v>
      </c>
      <c r="C28" s="29">
        <f t="shared" si="0"/>
        <v>3036</v>
      </c>
      <c r="D28" s="29"/>
      <c r="E28" s="29">
        <f>3113-77</f>
        <v>3036</v>
      </c>
      <c r="F28" s="29"/>
      <c r="G28" s="29"/>
      <c r="H28" s="25"/>
    </row>
    <row r="29" spans="1:8" s="26" customFormat="1" ht="15.75" x14ac:dyDescent="0.25">
      <c r="A29" s="27">
        <v>23</v>
      </c>
      <c r="B29" s="28" t="s">
        <v>79</v>
      </c>
      <c r="C29" s="29">
        <f t="shared" si="0"/>
        <v>2241</v>
      </c>
      <c r="D29" s="29"/>
      <c r="E29" s="29">
        <v>2241</v>
      </c>
      <c r="F29" s="29"/>
      <c r="G29" s="29"/>
      <c r="H29" s="25"/>
    </row>
    <row r="30" spans="1:8" s="26" customFormat="1" ht="15.75" x14ac:dyDescent="0.25">
      <c r="A30" s="27">
        <v>24</v>
      </c>
      <c r="B30" s="28" t="s">
        <v>80</v>
      </c>
      <c r="C30" s="29">
        <f t="shared" si="0"/>
        <v>2824</v>
      </c>
      <c r="D30" s="29"/>
      <c r="E30" s="29">
        <v>2824</v>
      </c>
      <c r="F30" s="29"/>
      <c r="G30" s="29"/>
      <c r="H30" s="25"/>
    </row>
    <row r="31" spans="1:8" s="26" customFormat="1" ht="15.75" x14ac:dyDescent="0.25">
      <c r="A31" s="27">
        <v>25</v>
      </c>
      <c r="B31" s="28" t="s">
        <v>8</v>
      </c>
      <c r="C31" s="29">
        <f t="shared" si="0"/>
        <v>5009</v>
      </c>
      <c r="D31" s="29">
        <f>130+2</f>
        <v>132</v>
      </c>
      <c r="E31" s="29">
        <f>4879-2</f>
        <v>4877</v>
      </c>
      <c r="F31" s="29"/>
      <c r="G31" s="29"/>
      <c r="H31" s="25"/>
    </row>
    <row r="32" spans="1:8" s="26" customFormat="1" ht="15.75" x14ac:dyDescent="0.25">
      <c r="A32" s="27">
        <v>26</v>
      </c>
      <c r="B32" s="28" t="s">
        <v>81</v>
      </c>
      <c r="C32" s="29">
        <f t="shared" si="0"/>
        <v>2278</v>
      </c>
      <c r="D32" s="29"/>
      <c r="E32" s="29">
        <v>2278</v>
      </c>
      <c r="F32" s="29"/>
      <c r="G32" s="29"/>
      <c r="H32" s="25"/>
    </row>
    <row r="33" spans="1:8" s="26" customFormat="1" ht="15.75" x14ac:dyDescent="0.25">
      <c r="A33" s="27">
        <v>27</v>
      </c>
      <c r="B33" s="28" t="s">
        <v>82</v>
      </c>
      <c r="C33" s="29">
        <f t="shared" si="0"/>
        <v>2766</v>
      </c>
      <c r="D33" s="29"/>
      <c r="E33" s="29">
        <v>2766</v>
      </c>
      <c r="F33" s="29"/>
      <c r="G33" s="29"/>
      <c r="H33" s="25"/>
    </row>
    <row r="34" spans="1:8" s="26" customFormat="1" ht="15.75" x14ac:dyDescent="0.25">
      <c r="A34" s="27">
        <v>28</v>
      </c>
      <c r="B34" s="28" t="s">
        <v>83</v>
      </c>
      <c r="C34" s="29">
        <f t="shared" si="0"/>
        <v>1789</v>
      </c>
      <c r="D34" s="29"/>
      <c r="E34" s="29">
        <v>1789</v>
      </c>
      <c r="F34" s="29"/>
      <c r="G34" s="29"/>
      <c r="H34" s="25"/>
    </row>
    <row r="35" spans="1:8" s="26" customFormat="1" ht="15.75" x14ac:dyDescent="0.25">
      <c r="A35" s="27">
        <v>29</v>
      </c>
      <c r="B35" s="28" t="s">
        <v>84</v>
      </c>
      <c r="C35" s="29">
        <f t="shared" si="0"/>
        <v>3635</v>
      </c>
      <c r="D35" s="29"/>
      <c r="E35" s="29">
        <v>3635</v>
      </c>
      <c r="F35" s="29"/>
      <c r="G35" s="29"/>
      <c r="H35" s="25"/>
    </row>
    <row r="36" spans="1:8" s="26" customFormat="1" ht="15.75" x14ac:dyDescent="0.25">
      <c r="A36" s="27">
        <v>30</v>
      </c>
      <c r="B36" s="28" t="s">
        <v>85</v>
      </c>
      <c r="C36" s="29">
        <f t="shared" si="0"/>
        <v>9886</v>
      </c>
      <c r="D36" s="29"/>
      <c r="E36" s="29">
        <f>9866+20</f>
        <v>9886</v>
      </c>
      <c r="F36" s="29"/>
      <c r="G36" s="29"/>
      <c r="H36" s="25"/>
    </row>
    <row r="37" spans="1:8" s="26" customFormat="1" ht="15.75" x14ac:dyDescent="0.25">
      <c r="A37" s="27">
        <v>31</v>
      </c>
      <c r="B37" s="28" t="s">
        <v>86</v>
      </c>
      <c r="C37" s="29">
        <f t="shared" si="0"/>
        <v>6660</v>
      </c>
      <c r="D37" s="29"/>
      <c r="E37" s="29">
        <v>6660</v>
      </c>
      <c r="F37" s="29"/>
      <c r="G37" s="29"/>
      <c r="H37" s="25"/>
    </row>
    <row r="38" spans="1:8" s="26" customFormat="1" ht="15.75" x14ac:dyDescent="0.25">
      <c r="A38" s="27">
        <v>32</v>
      </c>
      <c r="B38" s="28" t="s">
        <v>87</v>
      </c>
      <c r="C38" s="29">
        <f t="shared" si="0"/>
        <v>3272</v>
      </c>
      <c r="D38" s="29"/>
      <c r="E38" s="29">
        <v>3272</v>
      </c>
      <c r="F38" s="29"/>
      <c r="G38" s="29"/>
      <c r="H38" s="25"/>
    </row>
    <row r="39" spans="1:8" s="26" customFormat="1" ht="15.75" x14ac:dyDescent="0.25">
      <c r="A39" s="27">
        <v>33</v>
      </c>
      <c r="B39" s="28" t="s">
        <v>88</v>
      </c>
      <c r="C39" s="29">
        <f t="shared" si="0"/>
        <v>1728</v>
      </c>
      <c r="D39" s="29"/>
      <c r="E39" s="29">
        <v>1728</v>
      </c>
      <c r="F39" s="29"/>
      <c r="G39" s="29"/>
      <c r="H39" s="25"/>
    </row>
    <row r="40" spans="1:8" s="26" customFormat="1" ht="15.75" x14ac:dyDescent="0.25">
      <c r="A40" s="27">
        <v>34</v>
      </c>
      <c r="B40" s="28" t="s">
        <v>89</v>
      </c>
      <c r="C40" s="29">
        <f t="shared" si="0"/>
        <v>27836</v>
      </c>
      <c r="D40" s="29">
        <v>674</v>
      </c>
      <c r="E40" s="29">
        <v>27162</v>
      </c>
      <c r="F40" s="29"/>
      <c r="G40" s="29"/>
      <c r="H40" s="25"/>
    </row>
    <row r="41" spans="1:8" s="26" customFormat="1" ht="15.75" x14ac:dyDescent="0.25">
      <c r="A41" s="27">
        <v>35</v>
      </c>
      <c r="B41" s="28" t="s">
        <v>90</v>
      </c>
      <c r="C41" s="29">
        <f t="shared" si="0"/>
        <v>3330</v>
      </c>
      <c r="D41" s="29"/>
      <c r="E41" s="29">
        <v>3330</v>
      </c>
      <c r="F41" s="29"/>
      <c r="G41" s="29"/>
      <c r="H41" s="25"/>
    </row>
    <row r="42" spans="1:8" s="26" customFormat="1" ht="15.75" x14ac:dyDescent="0.25">
      <c r="A42" s="27">
        <v>36</v>
      </c>
      <c r="B42" s="28" t="s">
        <v>91</v>
      </c>
      <c r="C42" s="29">
        <f t="shared" si="0"/>
        <v>11863</v>
      </c>
      <c r="D42" s="29"/>
      <c r="E42" s="29">
        <f>12099-236</f>
        <v>11863</v>
      </c>
      <c r="F42" s="29"/>
      <c r="G42" s="29"/>
      <c r="H42" s="25"/>
    </row>
    <row r="43" spans="1:8" s="26" customFormat="1" ht="15.75" x14ac:dyDescent="0.25">
      <c r="A43" s="27">
        <v>37</v>
      </c>
      <c r="B43" s="28" t="s">
        <v>92</v>
      </c>
      <c r="C43" s="29">
        <f t="shared" si="0"/>
        <v>2769</v>
      </c>
      <c r="D43" s="29"/>
      <c r="E43" s="29">
        <v>2769</v>
      </c>
      <c r="F43" s="29"/>
      <c r="G43" s="29"/>
      <c r="H43" s="25"/>
    </row>
    <row r="44" spans="1:8" s="26" customFormat="1" ht="37.5" customHeight="1" x14ac:dyDescent="0.25">
      <c r="A44" s="27">
        <v>38</v>
      </c>
      <c r="B44" s="31" t="s">
        <v>93</v>
      </c>
      <c r="C44" s="29">
        <f t="shared" si="0"/>
        <v>791</v>
      </c>
      <c r="D44" s="29"/>
      <c r="E44" s="29">
        <v>791</v>
      </c>
      <c r="F44" s="29"/>
      <c r="G44" s="29"/>
      <c r="H44" s="25"/>
    </row>
    <row r="45" spans="1:8" s="26" customFormat="1" ht="45.75" customHeight="1" x14ac:dyDescent="0.25">
      <c r="A45" s="27">
        <v>39</v>
      </c>
      <c r="B45" s="32" t="s">
        <v>94</v>
      </c>
      <c r="C45" s="29">
        <f t="shared" si="0"/>
        <v>3868</v>
      </c>
      <c r="D45" s="29"/>
      <c r="E45" s="29">
        <v>3868</v>
      </c>
      <c r="F45" s="29"/>
      <c r="G45" s="29"/>
      <c r="H45" s="25"/>
    </row>
    <row r="46" spans="1:8" s="26" customFormat="1" ht="15.75" x14ac:dyDescent="0.25">
      <c r="A46" s="27">
        <v>40</v>
      </c>
      <c r="B46" s="28" t="s">
        <v>95</v>
      </c>
      <c r="C46" s="29">
        <f t="shared" si="0"/>
        <v>5763</v>
      </c>
      <c r="D46" s="29"/>
      <c r="E46" s="29">
        <v>5763</v>
      </c>
      <c r="F46" s="29"/>
      <c r="G46" s="29"/>
      <c r="H46" s="25"/>
    </row>
    <row r="47" spans="1:8" s="26" customFormat="1" ht="15.75" x14ac:dyDescent="0.25">
      <c r="A47" s="27">
        <v>41</v>
      </c>
      <c r="B47" s="28" t="s">
        <v>96</v>
      </c>
      <c r="C47" s="29">
        <f t="shared" si="0"/>
        <v>729</v>
      </c>
      <c r="D47" s="29"/>
      <c r="E47" s="29">
        <v>729</v>
      </c>
      <c r="F47" s="29"/>
      <c r="G47" s="29"/>
      <c r="H47" s="25"/>
    </row>
    <row r="48" spans="1:8" s="26" customFormat="1" ht="15.75" x14ac:dyDescent="0.25">
      <c r="A48" s="27">
        <v>42</v>
      </c>
      <c r="B48" s="28" t="s">
        <v>97</v>
      </c>
      <c r="C48" s="29">
        <f t="shared" si="0"/>
        <v>11025</v>
      </c>
      <c r="D48" s="29"/>
      <c r="E48" s="29">
        <f>11145-120</f>
        <v>11025</v>
      </c>
      <c r="F48" s="29"/>
      <c r="G48" s="29"/>
      <c r="H48" s="25"/>
    </row>
    <row r="49" spans="1:8" s="26" customFormat="1" ht="15.75" x14ac:dyDescent="0.25">
      <c r="A49" s="27">
        <v>43</v>
      </c>
      <c r="B49" s="28" t="s">
        <v>98</v>
      </c>
      <c r="C49" s="29">
        <f t="shared" si="0"/>
        <v>11348</v>
      </c>
      <c r="D49" s="29"/>
      <c r="E49" s="29">
        <v>11348</v>
      </c>
      <c r="F49" s="29"/>
      <c r="G49" s="29"/>
      <c r="H49" s="25"/>
    </row>
    <row r="50" spans="1:8" s="26" customFormat="1" ht="36.75" x14ac:dyDescent="0.25">
      <c r="A50" s="27">
        <v>44</v>
      </c>
      <c r="B50" s="31" t="s">
        <v>99</v>
      </c>
      <c r="C50" s="29">
        <f t="shared" si="0"/>
        <v>1209</v>
      </c>
      <c r="D50" s="29"/>
      <c r="E50" s="29">
        <v>1209</v>
      </c>
      <c r="F50" s="29"/>
      <c r="G50" s="29"/>
      <c r="H50" s="25"/>
    </row>
    <row r="51" spans="1:8" s="26" customFormat="1" ht="15.75" x14ac:dyDescent="0.25">
      <c r="A51" s="27">
        <v>45</v>
      </c>
      <c r="B51" s="28" t="s">
        <v>100</v>
      </c>
      <c r="C51" s="29">
        <f t="shared" si="0"/>
        <v>10898</v>
      </c>
      <c r="D51" s="29"/>
      <c r="E51" s="29">
        <f>10835+63</f>
        <v>10898</v>
      </c>
      <c r="F51" s="29"/>
      <c r="G51" s="29"/>
      <c r="H51" s="25"/>
    </row>
    <row r="52" spans="1:8" s="26" customFormat="1" ht="15.75" x14ac:dyDescent="0.25">
      <c r="A52" s="27">
        <v>46</v>
      </c>
      <c r="B52" s="28" t="s">
        <v>101</v>
      </c>
      <c r="C52" s="29">
        <f t="shared" si="0"/>
        <v>12625</v>
      </c>
      <c r="D52" s="29">
        <f>15+5</f>
        <v>20</v>
      </c>
      <c r="E52" s="29">
        <f>17352-17-4725-5</f>
        <v>12605</v>
      </c>
      <c r="F52" s="29"/>
      <c r="G52" s="29"/>
      <c r="H52" s="25"/>
    </row>
    <row r="53" spans="1:8" s="26" customFormat="1" ht="36.75" x14ac:dyDescent="0.25">
      <c r="A53" s="27">
        <v>47</v>
      </c>
      <c r="B53" s="31" t="s">
        <v>102</v>
      </c>
      <c r="C53" s="29">
        <f t="shared" si="0"/>
        <v>3226</v>
      </c>
      <c r="D53" s="29"/>
      <c r="E53" s="29">
        <v>3226</v>
      </c>
      <c r="F53" s="29"/>
      <c r="G53" s="29"/>
      <c r="H53" s="25"/>
    </row>
    <row r="54" spans="1:8" s="26" customFormat="1" ht="15.75" x14ac:dyDescent="0.25">
      <c r="A54" s="27">
        <v>48</v>
      </c>
      <c r="B54" s="28" t="s">
        <v>103</v>
      </c>
      <c r="C54" s="29">
        <f t="shared" si="0"/>
        <v>4558</v>
      </c>
      <c r="D54" s="29"/>
      <c r="E54" s="29">
        <f>4725-167</f>
        <v>4558</v>
      </c>
      <c r="F54" s="29"/>
      <c r="G54" s="29"/>
      <c r="H54" s="25"/>
    </row>
    <row r="55" spans="1:8" s="26" customFormat="1" ht="15.75" x14ac:dyDescent="0.25">
      <c r="A55" s="27">
        <v>49</v>
      </c>
      <c r="B55" s="28" t="s">
        <v>104</v>
      </c>
      <c r="C55" s="29">
        <f t="shared" si="0"/>
        <v>755</v>
      </c>
      <c r="D55" s="29"/>
      <c r="E55" s="29">
        <v>755</v>
      </c>
      <c r="F55" s="29"/>
      <c r="G55" s="29"/>
      <c r="H55" s="25"/>
    </row>
    <row r="56" spans="1:8" s="26" customFormat="1" ht="15.75" x14ac:dyDescent="0.25">
      <c r="A56" s="27">
        <v>50</v>
      </c>
      <c r="B56" s="28" t="s">
        <v>105</v>
      </c>
      <c r="C56" s="29">
        <f t="shared" si="0"/>
        <v>3088</v>
      </c>
      <c r="D56" s="29"/>
      <c r="E56" s="29">
        <v>3088</v>
      </c>
      <c r="F56" s="29"/>
      <c r="G56" s="29"/>
      <c r="H56" s="25"/>
    </row>
    <row r="57" spans="1:8" s="26" customFormat="1" ht="15.75" x14ac:dyDescent="0.25">
      <c r="A57" s="27">
        <v>51</v>
      </c>
      <c r="B57" s="28" t="s">
        <v>106</v>
      </c>
      <c r="C57" s="29">
        <f t="shared" si="0"/>
        <v>3436</v>
      </c>
      <c r="D57" s="29"/>
      <c r="E57" s="29">
        <v>3436</v>
      </c>
      <c r="F57" s="29"/>
      <c r="G57" s="29"/>
      <c r="H57" s="25"/>
    </row>
    <row r="58" spans="1:8" s="26" customFormat="1" ht="15.75" x14ac:dyDescent="0.25">
      <c r="A58" s="27">
        <v>52</v>
      </c>
      <c r="B58" s="28" t="s">
        <v>107</v>
      </c>
      <c r="C58" s="29">
        <f t="shared" si="0"/>
        <v>3529</v>
      </c>
      <c r="D58" s="29"/>
      <c r="E58" s="29">
        <v>3529</v>
      </c>
      <c r="F58" s="29"/>
      <c r="G58" s="29"/>
      <c r="H58" s="25"/>
    </row>
    <row r="59" spans="1:8" s="26" customFormat="1" ht="15.75" x14ac:dyDescent="0.25">
      <c r="A59" s="27">
        <v>53</v>
      </c>
      <c r="B59" s="28" t="s">
        <v>108</v>
      </c>
      <c r="C59" s="29">
        <f t="shared" si="0"/>
        <v>2164</v>
      </c>
      <c r="D59" s="29"/>
      <c r="E59" s="29">
        <v>2164</v>
      </c>
      <c r="F59" s="29"/>
      <c r="G59" s="29"/>
      <c r="H59" s="25"/>
    </row>
    <row r="60" spans="1:8" s="26" customFormat="1" ht="15.75" x14ac:dyDescent="0.25">
      <c r="A60" s="27">
        <v>54</v>
      </c>
      <c r="B60" s="28" t="s">
        <v>109</v>
      </c>
      <c r="C60" s="29">
        <f t="shared" si="0"/>
        <v>2949</v>
      </c>
      <c r="D60" s="29"/>
      <c r="E60" s="29">
        <v>2949</v>
      </c>
      <c r="F60" s="29"/>
      <c r="G60" s="29"/>
      <c r="H60" s="25"/>
    </row>
    <row r="61" spans="1:8" s="26" customFormat="1" ht="15.75" x14ac:dyDescent="0.25">
      <c r="A61" s="27">
        <v>55</v>
      </c>
      <c r="B61" s="28" t="s">
        <v>110</v>
      </c>
      <c r="C61" s="29">
        <f t="shared" si="0"/>
        <v>1687</v>
      </c>
      <c r="D61" s="29"/>
      <c r="E61" s="29">
        <v>1687</v>
      </c>
      <c r="F61" s="29"/>
      <c r="G61" s="29"/>
      <c r="H61" s="25"/>
    </row>
    <row r="62" spans="1:8" s="26" customFormat="1" ht="15.75" x14ac:dyDescent="0.25">
      <c r="A62" s="27">
        <v>56</v>
      </c>
      <c r="B62" s="28" t="s">
        <v>111</v>
      </c>
      <c r="C62" s="29">
        <f t="shared" si="0"/>
        <v>865</v>
      </c>
      <c r="D62" s="29">
        <v>18</v>
      </c>
      <c r="E62" s="29">
        <f>865-18</f>
        <v>847</v>
      </c>
      <c r="F62" s="29"/>
      <c r="G62" s="29"/>
      <c r="H62" s="25"/>
    </row>
    <row r="63" spans="1:8" s="26" customFormat="1" ht="15.75" x14ac:dyDescent="0.25">
      <c r="A63" s="27">
        <v>57</v>
      </c>
      <c r="B63" s="28" t="s">
        <v>112</v>
      </c>
      <c r="C63" s="29">
        <f t="shared" si="0"/>
        <v>16051</v>
      </c>
      <c r="D63" s="29"/>
      <c r="E63" s="29">
        <v>16051</v>
      </c>
      <c r="F63" s="29"/>
      <c r="G63" s="29"/>
      <c r="H63" s="25"/>
    </row>
    <row r="64" spans="1:8" s="26" customFormat="1" ht="15.75" x14ac:dyDescent="0.25">
      <c r="A64" s="27">
        <v>58</v>
      </c>
      <c r="B64" s="28" t="s">
        <v>113</v>
      </c>
      <c r="C64" s="29">
        <f t="shared" si="0"/>
        <v>17963</v>
      </c>
      <c r="D64" s="29"/>
      <c r="E64" s="29">
        <v>17963</v>
      </c>
      <c r="F64" s="29"/>
      <c r="G64" s="29"/>
      <c r="H64" s="25"/>
    </row>
    <row r="65" spans="1:8" s="26" customFormat="1" ht="15.75" x14ac:dyDescent="0.25">
      <c r="A65" s="27">
        <v>59</v>
      </c>
      <c r="B65" s="28" t="s">
        <v>114</v>
      </c>
      <c r="C65" s="29">
        <f t="shared" si="0"/>
        <v>3159</v>
      </c>
      <c r="D65" s="29"/>
      <c r="E65" s="29">
        <v>3159</v>
      </c>
      <c r="F65" s="29"/>
      <c r="G65" s="29"/>
      <c r="H65" s="25"/>
    </row>
    <row r="66" spans="1:8" s="26" customFormat="1" ht="15.75" x14ac:dyDescent="0.25">
      <c r="A66" s="27">
        <v>60</v>
      </c>
      <c r="B66" s="28" t="s">
        <v>115</v>
      </c>
      <c r="C66" s="29">
        <f t="shared" si="0"/>
        <v>3629</v>
      </c>
      <c r="D66" s="29"/>
      <c r="E66" s="29">
        <f>3699-70</f>
        <v>3629</v>
      </c>
      <c r="F66" s="29"/>
      <c r="G66" s="29"/>
      <c r="H66" s="25"/>
    </row>
    <row r="67" spans="1:8" s="26" customFormat="1" ht="15.75" x14ac:dyDescent="0.25">
      <c r="A67" s="27">
        <v>61</v>
      </c>
      <c r="B67" s="28" t="s">
        <v>116</v>
      </c>
      <c r="C67" s="29">
        <f t="shared" si="0"/>
        <v>2738</v>
      </c>
      <c r="D67" s="29"/>
      <c r="E67" s="29">
        <f>2711+27</f>
        <v>2738</v>
      </c>
      <c r="F67" s="29"/>
      <c r="G67" s="29"/>
      <c r="H67" s="25"/>
    </row>
    <row r="68" spans="1:8" s="26" customFormat="1" ht="15.75" x14ac:dyDescent="0.25">
      <c r="A68" s="27">
        <v>62</v>
      </c>
      <c r="B68" s="28" t="s">
        <v>117</v>
      </c>
      <c r="C68" s="29">
        <f t="shared" si="0"/>
        <v>9509</v>
      </c>
      <c r="D68" s="29"/>
      <c r="E68" s="29">
        <f>9669-160</f>
        <v>9509</v>
      </c>
      <c r="F68" s="29"/>
      <c r="G68" s="29"/>
      <c r="H68" s="25"/>
    </row>
    <row r="69" spans="1:8" s="26" customFormat="1" ht="15.75" x14ac:dyDescent="0.25">
      <c r="A69" s="27">
        <v>63</v>
      </c>
      <c r="B69" s="28" t="s">
        <v>118</v>
      </c>
      <c r="C69" s="29">
        <f t="shared" si="0"/>
        <v>3692</v>
      </c>
      <c r="D69" s="29"/>
      <c r="E69" s="29">
        <f>3592+100</f>
        <v>3692</v>
      </c>
      <c r="F69" s="29">
        <v>623</v>
      </c>
      <c r="G69" s="29"/>
      <c r="H69" s="25"/>
    </row>
    <row r="70" spans="1:8" s="26" customFormat="1" ht="15.75" x14ac:dyDescent="0.25">
      <c r="A70" s="27">
        <v>64</v>
      </c>
      <c r="B70" s="28" t="s">
        <v>119</v>
      </c>
      <c r="C70" s="29">
        <f t="shared" si="0"/>
        <v>17555</v>
      </c>
      <c r="D70" s="29"/>
      <c r="E70" s="29">
        <v>17555</v>
      </c>
      <c r="F70" s="29"/>
      <c r="G70" s="29"/>
      <c r="H70" s="25"/>
    </row>
    <row r="71" spans="1:8" s="26" customFormat="1" ht="15.75" x14ac:dyDescent="0.25">
      <c r="A71" s="27">
        <v>65</v>
      </c>
      <c r="B71" s="28" t="s">
        <v>120</v>
      </c>
      <c r="C71" s="29">
        <f t="shared" si="0"/>
        <v>927</v>
      </c>
      <c r="D71" s="29"/>
      <c r="E71" s="29">
        <v>927</v>
      </c>
      <c r="F71" s="29"/>
      <c r="G71" s="29"/>
      <c r="H71" s="25"/>
    </row>
    <row r="72" spans="1:8" s="26" customFormat="1" ht="15.75" x14ac:dyDescent="0.25">
      <c r="A72" s="27">
        <v>66</v>
      </c>
      <c r="B72" s="28" t="s">
        <v>121</v>
      </c>
      <c r="C72" s="29">
        <f t="shared" si="0"/>
        <v>6734</v>
      </c>
      <c r="D72" s="29">
        <v>84</v>
      </c>
      <c r="E72" s="29">
        <v>6650</v>
      </c>
      <c r="F72" s="29">
        <v>623</v>
      </c>
      <c r="G72" s="29"/>
      <c r="H72" s="25"/>
    </row>
    <row r="73" spans="1:8" s="26" customFormat="1" ht="15.75" x14ac:dyDescent="0.25">
      <c r="A73" s="27">
        <v>67</v>
      </c>
      <c r="B73" s="28" t="s">
        <v>122</v>
      </c>
      <c r="C73" s="29">
        <f t="shared" ref="C73:C109" si="1">D73+E73+G73</f>
        <v>927</v>
      </c>
      <c r="D73" s="29"/>
      <c r="E73" s="29">
        <v>927</v>
      </c>
      <c r="F73" s="29"/>
      <c r="G73" s="29"/>
      <c r="H73" s="25"/>
    </row>
    <row r="74" spans="1:8" s="26" customFormat="1" ht="15.75" x14ac:dyDescent="0.25">
      <c r="A74" s="27">
        <v>68</v>
      </c>
      <c r="B74" s="28" t="s">
        <v>123</v>
      </c>
      <c r="C74" s="29">
        <f t="shared" si="1"/>
        <v>12084</v>
      </c>
      <c r="D74" s="29">
        <v>266</v>
      </c>
      <c r="E74" s="29">
        <v>11818</v>
      </c>
      <c r="F74" s="29"/>
      <c r="G74" s="29"/>
      <c r="H74" s="25"/>
    </row>
    <row r="75" spans="1:8" s="26" customFormat="1" ht="15.75" x14ac:dyDescent="0.25">
      <c r="A75" s="27">
        <v>69</v>
      </c>
      <c r="B75" s="28" t="s">
        <v>124</v>
      </c>
      <c r="C75" s="29">
        <f t="shared" si="1"/>
        <v>14185</v>
      </c>
      <c r="D75" s="29">
        <f>346+60+13</f>
        <v>419</v>
      </c>
      <c r="E75" s="29">
        <v>13766</v>
      </c>
      <c r="F75" s="29">
        <f>208+37+50+201+254</f>
        <v>750</v>
      </c>
      <c r="G75" s="29"/>
      <c r="H75" s="25"/>
    </row>
    <row r="76" spans="1:8" s="26" customFormat="1" ht="15.75" x14ac:dyDescent="0.25">
      <c r="A76" s="27">
        <v>70</v>
      </c>
      <c r="B76" s="28" t="s">
        <v>125</v>
      </c>
      <c r="C76" s="29">
        <f t="shared" si="1"/>
        <v>13686</v>
      </c>
      <c r="D76" s="29">
        <f>480+30</f>
        <v>510</v>
      </c>
      <c r="E76" s="29">
        <f>13206-30</f>
        <v>13176</v>
      </c>
      <c r="F76" s="29">
        <v>1246</v>
      </c>
      <c r="G76" s="29"/>
      <c r="H76" s="25"/>
    </row>
    <row r="77" spans="1:8" s="26" customFormat="1" ht="15.75" x14ac:dyDescent="0.25">
      <c r="A77" s="27">
        <v>71</v>
      </c>
      <c r="B77" s="28" t="s">
        <v>126</v>
      </c>
      <c r="C77" s="29">
        <f t="shared" si="1"/>
        <v>9302</v>
      </c>
      <c r="D77" s="29">
        <v>140</v>
      </c>
      <c r="E77" s="29">
        <v>9162</v>
      </c>
      <c r="F77" s="29"/>
      <c r="G77" s="29"/>
      <c r="H77" s="25"/>
    </row>
    <row r="78" spans="1:8" s="26" customFormat="1" ht="15.75" x14ac:dyDescent="0.25">
      <c r="A78" s="27">
        <v>72</v>
      </c>
      <c r="B78" s="28" t="s">
        <v>127</v>
      </c>
      <c r="C78" s="29">
        <f t="shared" si="1"/>
        <v>5425</v>
      </c>
      <c r="D78" s="29"/>
      <c r="E78" s="29">
        <v>5425</v>
      </c>
      <c r="F78" s="29"/>
      <c r="G78" s="29"/>
      <c r="H78" s="25"/>
    </row>
    <row r="79" spans="1:8" s="26" customFormat="1" ht="15.75" x14ac:dyDescent="0.25">
      <c r="A79" s="27">
        <v>73</v>
      </c>
      <c r="B79" s="28" t="s">
        <v>128</v>
      </c>
      <c r="C79" s="29">
        <f t="shared" si="1"/>
        <v>2001</v>
      </c>
      <c r="D79" s="29"/>
      <c r="E79" s="29">
        <v>2001</v>
      </c>
      <c r="F79" s="29"/>
      <c r="G79" s="29"/>
      <c r="H79" s="25"/>
    </row>
    <row r="80" spans="1:8" s="26" customFormat="1" ht="15.75" x14ac:dyDescent="0.25">
      <c r="A80" s="27">
        <v>74</v>
      </c>
      <c r="B80" s="28" t="s">
        <v>129</v>
      </c>
      <c r="C80" s="29">
        <f t="shared" si="1"/>
        <v>3741</v>
      </c>
      <c r="D80" s="29"/>
      <c r="E80" s="29">
        <v>3741</v>
      </c>
      <c r="F80" s="29"/>
      <c r="G80" s="29"/>
      <c r="H80" s="25"/>
    </row>
    <row r="81" spans="1:8" s="26" customFormat="1" ht="15.75" x14ac:dyDescent="0.25">
      <c r="A81" s="27">
        <v>75</v>
      </c>
      <c r="B81" s="28" t="s">
        <v>130</v>
      </c>
      <c r="C81" s="29">
        <f t="shared" si="1"/>
        <v>3366</v>
      </c>
      <c r="D81" s="29"/>
      <c r="E81" s="29">
        <v>3366</v>
      </c>
      <c r="F81" s="29"/>
      <c r="G81" s="29"/>
      <c r="H81" s="25"/>
    </row>
    <row r="82" spans="1:8" s="26" customFormat="1" ht="15.75" x14ac:dyDescent="0.25">
      <c r="A82" s="27">
        <v>76</v>
      </c>
      <c r="B82" s="28" t="s">
        <v>131</v>
      </c>
      <c r="C82" s="29">
        <f t="shared" si="1"/>
        <v>4766</v>
      </c>
      <c r="D82" s="29"/>
      <c r="E82" s="29">
        <v>4766</v>
      </c>
      <c r="F82" s="29"/>
      <c r="G82" s="29"/>
      <c r="H82" s="25"/>
    </row>
    <row r="83" spans="1:8" s="26" customFormat="1" ht="15.75" x14ac:dyDescent="0.25">
      <c r="A83" s="27">
        <v>77</v>
      </c>
      <c r="B83" s="28" t="s">
        <v>132</v>
      </c>
      <c r="C83" s="29">
        <f t="shared" si="1"/>
        <v>2584</v>
      </c>
      <c r="D83" s="29"/>
      <c r="E83" s="29">
        <v>2584</v>
      </c>
      <c r="F83" s="29"/>
      <c r="G83" s="29"/>
      <c r="H83" s="25"/>
    </row>
    <row r="84" spans="1:8" s="26" customFormat="1" ht="15.75" x14ac:dyDescent="0.25">
      <c r="A84" s="27">
        <v>78</v>
      </c>
      <c r="B84" s="28" t="s">
        <v>133</v>
      </c>
      <c r="C84" s="29">
        <f t="shared" si="1"/>
        <v>2103</v>
      </c>
      <c r="D84" s="29"/>
      <c r="E84" s="29">
        <v>2103</v>
      </c>
      <c r="F84" s="29"/>
      <c r="G84" s="29"/>
      <c r="H84" s="25"/>
    </row>
    <row r="85" spans="1:8" s="26" customFormat="1" ht="15.75" x14ac:dyDescent="0.25">
      <c r="A85" s="27">
        <v>79</v>
      </c>
      <c r="B85" s="28" t="s">
        <v>134</v>
      </c>
      <c r="C85" s="29">
        <f t="shared" si="1"/>
        <v>3033</v>
      </c>
      <c r="D85" s="29"/>
      <c r="E85" s="29">
        <v>3033</v>
      </c>
      <c r="F85" s="29"/>
      <c r="G85" s="29"/>
      <c r="H85" s="25"/>
    </row>
    <row r="86" spans="1:8" s="26" customFormat="1" ht="15.75" x14ac:dyDescent="0.25">
      <c r="A86" s="27">
        <v>80</v>
      </c>
      <c r="B86" s="28" t="s">
        <v>135</v>
      </c>
      <c r="C86" s="29">
        <f t="shared" si="1"/>
        <v>4426</v>
      </c>
      <c r="D86" s="29"/>
      <c r="E86" s="29">
        <v>4426</v>
      </c>
      <c r="F86" s="29"/>
      <c r="G86" s="29"/>
      <c r="H86" s="25"/>
    </row>
    <row r="87" spans="1:8" s="26" customFormat="1" ht="15.75" x14ac:dyDescent="0.25">
      <c r="A87" s="27">
        <v>81</v>
      </c>
      <c r="B87" s="28" t="s">
        <v>136</v>
      </c>
      <c r="C87" s="29">
        <f t="shared" si="1"/>
        <v>2244</v>
      </c>
      <c r="D87" s="29"/>
      <c r="E87" s="29">
        <v>2244</v>
      </c>
      <c r="F87" s="29"/>
      <c r="G87" s="29"/>
      <c r="H87" s="25"/>
    </row>
    <row r="88" spans="1:8" s="26" customFormat="1" ht="43.5" customHeight="1" x14ac:dyDescent="0.25">
      <c r="A88" s="27">
        <v>82</v>
      </c>
      <c r="B88" s="32" t="s">
        <v>137</v>
      </c>
      <c r="C88" s="29">
        <f t="shared" si="1"/>
        <v>7611</v>
      </c>
      <c r="D88" s="29"/>
      <c r="E88" s="29">
        <v>7611</v>
      </c>
      <c r="F88" s="29"/>
      <c r="G88" s="29"/>
      <c r="H88" s="25"/>
    </row>
    <row r="89" spans="1:8" s="26" customFormat="1" ht="15.75" x14ac:dyDescent="0.25">
      <c r="A89" s="27">
        <v>83</v>
      </c>
      <c r="B89" s="28" t="s">
        <v>42</v>
      </c>
      <c r="C89" s="29">
        <f t="shared" si="1"/>
        <v>21520</v>
      </c>
      <c r="D89" s="29">
        <v>1390</v>
      </c>
      <c r="E89" s="29">
        <v>20130</v>
      </c>
      <c r="F89" s="29">
        <v>623</v>
      </c>
      <c r="G89" s="29"/>
      <c r="H89" s="25"/>
    </row>
    <row r="90" spans="1:8" s="26" customFormat="1" ht="15.75" x14ac:dyDescent="0.25">
      <c r="A90" s="27">
        <v>84</v>
      </c>
      <c r="B90" s="33" t="s">
        <v>138</v>
      </c>
      <c r="C90" s="29">
        <f t="shared" si="1"/>
        <v>2665</v>
      </c>
      <c r="D90" s="29"/>
      <c r="E90" s="29">
        <f>2865-200</f>
        <v>2665</v>
      </c>
      <c r="F90" s="29"/>
      <c r="G90" s="29"/>
      <c r="H90" s="25"/>
    </row>
    <row r="91" spans="1:8" s="26" customFormat="1" ht="15.75" x14ac:dyDescent="0.25">
      <c r="A91" s="27">
        <v>85</v>
      </c>
      <c r="B91" s="28" t="s">
        <v>38</v>
      </c>
      <c r="C91" s="29">
        <f t="shared" si="1"/>
        <v>308</v>
      </c>
      <c r="D91" s="29">
        <v>240</v>
      </c>
      <c r="E91" s="29">
        <f>34+34</f>
        <v>68</v>
      </c>
      <c r="F91" s="29"/>
      <c r="G91" s="29"/>
      <c r="H91" s="25"/>
    </row>
    <row r="92" spans="1:8" s="26" customFormat="1" ht="15.75" x14ac:dyDescent="0.25">
      <c r="A92" s="27">
        <v>86</v>
      </c>
      <c r="B92" s="28" t="s">
        <v>139</v>
      </c>
      <c r="C92" s="29">
        <f t="shared" si="1"/>
        <v>0</v>
      </c>
      <c r="D92" s="29"/>
      <c r="E92" s="29">
        <f>34-34</f>
        <v>0</v>
      </c>
      <c r="F92" s="29"/>
      <c r="G92" s="29"/>
      <c r="H92" s="25"/>
    </row>
    <row r="93" spans="1:8" s="26" customFormat="1" ht="15.75" x14ac:dyDescent="0.25">
      <c r="A93" s="27">
        <v>87</v>
      </c>
      <c r="B93" s="28" t="s">
        <v>140</v>
      </c>
      <c r="C93" s="29">
        <f t="shared" si="1"/>
        <v>34</v>
      </c>
      <c r="D93" s="29"/>
      <c r="E93" s="29">
        <v>34</v>
      </c>
      <c r="F93" s="29"/>
      <c r="G93" s="29"/>
      <c r="H93" s="25"/>
    </row>
    <row r="94" spans="1:8" s="26" customFormat="1" ht="15.75" x14ac:dyDescent="0.25">
      <c r="A94" s="27">
        <v>88</v>
      </c>
      <c r="B94" s="34" t="s">
        <v>39</v>
      </c>
      <c r="C94" s="29">
        <f t="shared" si="1"/>
        <v>27673</v>
      </c>
      <c r="D94" s="29">
        <f>2477+6+24</f>
        <v>2507</v>
      </c>
      <c r="E94" s="29">
        <f>24846-6+350-24</f>
        <v>25166</v>
      </c>
      <c r="F94" s="29">
        <v>831</v>
      </c>
      <c r="G94" s="29"/>
      <c r="H94" s="25"/>
    </row>
    <row r="95" spans="1:8" s="26" customFormat="1" ht="15.75" x14ac:dyDescent="0.25">
      <c r="A95" s="27">
        <v>89</v>
      </c>
      <c r="B95" s="34" t="s">
        <v>141</v>
      </c>
      <c r="C95" s="29">
        <f t="shared" si="1"/>
        <v>12806</v>
      </c>
      <c r="D95" s="29">
        <v>1020</v>
      </c>
      <c r="E95" s="29">
        <f>11406+380</f>
        <v>11786</v>
      </c>
      <c r="F95" s="29"/>
      <c r="G95" s="29"/>
      <c r="H95" s="25"/>
    </row>
    <row r="96" spans="1:8" s="26" customFormat="1" ht="15.75" x14ac:dyDescent="0.25">
      <c r="A96" s="27">
        <v>90</v>
      </c>
      <c r="B96" s="35" t="s">
        <v>11</v>
      </c>
      <c r="C96" s="29">
        <f t="shared" si="1"/>
        <v>11886</v>
      </c>
      <c r="D96" s="29">
        <v>2960</v>
      </c>
      <c r="E96" s="29">
        <f>8626+300</f>
        <v>8926</v>
      </c>
      <c r="F96" s="29">
        <v>624</v>
      </c>
      <c r="G96" s="29"/>
      <c r="H96" s="25"/>
    </row>
    <row r="97" spans="1:8" s="26" customFormat="1" ht="31.5" x14ac:dyDescent="0.25">
      <c r="A97" s="27">
        <v>91</v>
      </c>
      <c r="B97" s="36" t="s">
        <v>142</v>
      </c>
      <c r="C97" s="29">
        <f t="shared" si="1"/>
        <v>792</v>
      </c>
      <c r="D97" s="29"/>
      <c r="E97" s="29">
        <v>792</v>
      </c>
      <c r="F97" s="29"/>
      <c r="G97" s="29"/>
      <c r="H97" s="25"/>
    </row>
    <row r="98" spans="1:8" s="26" customFormat="1" ht="15.75" x14ac:dyDescent="0.25">
      <c r="A98" s="27">
        <v>92</v>
      </c>
      <c r="B98" s="35" t="s">
        <v>143</v>
      </c>
      <c r="C98" s="29">
        <f t="shared" si="1"/>
        <v>12400</v>
      </c>
      <c r="D98" s="29">
        <v>2660</v>
      </c>
      <c r="E98" s="29">
        <v>9740</v>
      </c>
      <c r="F98" s="29"/>
      <c r="G98" s="29"/>
      <c r="H98" s="25"/>
    </row>
    <row r="99" spans="1:8" s="26" customFormat="1" ht="15.75" x14ac:dyDescent="0.25">
      <c r="A99" s="27">
        <v>93</v>
      </c>
      <c r="B99" s="35" t="s">
        <v>144</v>
      </c>
      <c r="C99" s="29">
        <f t="shared" si="1"/>
        <v>5366</v>
      </c>
      <c r="D99" s="29">
        <v>52</v>
      </c>
      <c r="E99" s="29">
        <v>5314</v>
      </c>
      <c r="F99" s="29"/>
      <c r="G99" s="29"/>
      <c r="H99" s="25"/>
    </row>
    <row r="100" spans="1:8" s="26" customFormat="1" ht="15.75" x14ac:dyDescent="0.25">
      <c r="A100" s="27">
        <v>94</v>
      </c>
      <c r="B100" s="35" t="s">
        <v>145</v>
      </c>
      <c r="C100" s="29">
        <f>D100+E100+G100</f>
        <v>18444</v>
      </c>
      <c r="D100" s="29">
        <v>925</v>
      </c>
      <c r="E100" s="29">
        <v>17519</v>
      </c>
      <c r="F100" s="29">
        <f>283</f>
        <v>283</v>
      </c>
      <c r="G100" s="29"/>
      <c r="H100" s="25"/>
    </row>
    <row r="101" spans="1:8" s="26" customFormat="1" ht="15.75" x14ac:dyDescent="0.25">
      <c r="A101" s="27">
        <v>95</v>
      </c>
      <c r="B101" s="35" t="s">
        <v>36</v>
      </c>
      <c r="C101" s="29">
        <f t="shared" si="1"/>
        <v>22688</v>
      </c>
      <c r="D101" s="29">
        <f>660-65</f>
        <v>595</v>
      </c>
      <c r="E101" s="29">
        <f>22228+65-200</f>
        <v>22093</v>
      </c>
      <c r="F101" s="29"/>
      <c r="G101" s="29"/>
      <c r="H101" s="25"/>
    </row>
    <row r="102" spans="1:8" s="26" customFormat="1" ht="15.75" x14ac:dyDescent="0.25">
      <c r="A102" s="27">
        <v>96</v>
      </c>
      <c r="B102" s="37" t="s">
        <v>10</v>
      </c>
      <c r="C102" s="29">
        <f t="shared" si="1"/>
        <v>5575</v>
      </c>
      <c r="D102" s="29">
        <v>216</v>
      </c>
      <c r="E102" s="29">
        <v>5359</v>
      </c>
      <c r="F102" s="29">
        <f>1350+106</f>
        <v>1456</v>
      </c>
      <c r="G102" s="29"/>
      <c r="H102" s="25"/>
    </row>
    <row r="103" spans="1:8" s="26" customFormat="1" ht="15.75" x14ac:dyDescent="0.25">
      <c r="A103" s="27">
        <v>97</v>
      </c>
      <c r="B103" s="37" t="s">
        <v>1</v>
      </c>
      <c r="C103" s="29">
        <f t="shared" si="1"/>
        <v>24656</v>
      </c>
      <c r="D103" s="29">
        <f>1080+25</f>
        <v>1105</v>
      </c>
      <c r="E103" s="29">
        <f>23526+50-25</f>
        <v>23551</v>
      </c>
      <c r="F103" s="29">
        <f>1246</f>
        <v>1246</v>
      </c>
      <c r="G103" s="29"/>
      <c r="H103" s="25"/>
    </row>
    <row r="104" spans="1:8" s="26" customFormat="1" ht="15.75" x14ac:dyDescent="0.25">
      <c r="A104" s="27">
        <v>98</v>
      </c>
      <c r="B104" s="37" t="s">
        <v>146</v>
      </c>
      <c r="C104" s="29">
        <f t="shared" si="1"/>
        <v>22380</v>
      </c>
      <c r="D104" s="29">
        <f>1168+18+9</f>
        <v>1195</v>
      </c>
      <c r="E104" s="29">
        <f>21212-18-9</f>
        <v>21185</v>
      </c>
      <c r="F104" s="29">
        <v>727</v>
      </c>
      <c r="G104" s="29"/>
      <c r="H104" s="25"/>
    </row>
    <row r="105" spans="1:8" s="26" customFormat="1" ht="36.75" x14ac:dyDescent="0.25">
      <c r="A105" s="27">
        <v>99</v>
      </c>
      <c r="B105" s="31" t="s">
        <v>147</v>
      </c>
      <c r="C105" s="29">
        <f t="shared" si="1"/>
        <v>2258</v>
      </c>
      <c r="D105" s="29"/>
      <c r="E105" s="29">
        <v>2258</v>
      </c>
      <c r="F105" s="29"/>
      <c r="G105" s="29"/>
      <c r="H105" s="25"/>
    </row>
    <row r="106" spans="1:8" s="26" customFormat="1" ht="15.75" x14ac:dyDescent="0.25">
      <c r="A106" s="27">
        <v>100</v>
      </c>
      <c r="B106" s="37" t="s">
        <v>148</v>
      </c>
      <c r="C106" s="29">
        <f t="shared" si="1"/>
        <v>15841</v>
      </c>
      <c r="D106" s="29"/>
      <c r="E106" s="29">
        <v>15841</v>
      </c>
      <c r="F106" s="29"/>
      <c r="G106" s="29"/>
      <c r="H106" s="25"/>
    </row>
    <row r="107" spans="1:8" s="26" customFormat="1" ht="15.75" x14ac:dyDescent="0.25">
      <c r="A107" s="27">
        <v>101</v>
      </c>
      <c r="B107" s="35" t="s">
        <v>149</v>
      </c>
      <c r="C107" s="29">
        <f t="shared" si="1"/>
        <v>1010</v>
      </c>
      <c r="D107" s="29">
        <v>200</v>
      </c>
      <c r="E107" s="29">
        <v>810</v>
      </c>
      <c r="F107" s="29"/>
      <c r="G107" s="29"/>
      <c r="H107" s="25"/>
    </row>
    <row r="108" spans="1:8" s="26" customFormat="1" ht="15.75" x14ac:dyDescent="0.25">
      <c r="A108" s="27"/>
      <c r="B108" s="38" t="s">
        <v>150</v>
      </c>
      <c r="C108" s="29">
        <f t="shared" si="1"/>
        <v>0</v>
      </c>
      <c r="D108" s="29"/>
      <c r="E108" s="29">
        <f>82+56-138</f>
        <v>0</v>
      </c>
      <c r="F108" s="29"/>
      <c r="G108" s="29"/>
      <c r="H108" s="25"/>
    </row>
    <row r="109" spans="1:8" s="26" customFormat="1" ht="15.75" x14ac:dyDescent="0.25">
      <c r="A109" s="27"/>
      <c r="B109" s="38" t="s">
        <v>151</v>
      </c>
      <c r="C109" s="29">
        <f t="shared" si="1"/>
        <v>15258</v>
      </c>
      <c r="D109" s="29"/>
      <c r="E109" s="29">
        <v>15258</v>
      </c>
      <c r="F109" s="29"/>
      <c r="G109" s="29"/>
      <c r="H109" s="25"/>
    </row>
    <row r="110" spans="1:8" s="26" customFormat="1" ht="15.75" x14ac:dyDescent="0.25">
      <c r="A110" s="39"/>
      <c r="B110" s="40" t="s">
        <v>12</v>
      </c>
      <c r="C110" s="41">
        <f>SUM(C7:C109)</f>
        <v>699707</v>
      </c>
      <c r="D110" s="41">
        <f>SUM(D7:D109)</f>
        <v>17328</v>
      </c>
      <c r="E110" s="41">
        <f>SUM(E7:E109)</f>
        <v>682379</v>
      </c>
      <c r="F110" s="41">
        <f>SUM(F7:F109)</f>
        <v>9032</v>
      </c>
      <c r="G110" s="41">
        <f>SUM(G7:G109)</f>
        <v>0</v>
      </c>
      <c r="H110" s="25"/>
    </row>
  </sheetData>
  <mergeCells count="9">
    <mergeCell ref="A1:G1"/>
    <mergeCell ref="E2:G2"/>
    <mergeCell ref="A3:A5"/>
    <mergeCell ref="B3:B5"/>
    <mergeCell ref="C3:C5"/>
    <mergeCell ref="D3:G3"/>
    <mergeCell ref="D4:D5"/>
    <mergeCell ref="E4:E5"/>
    <mergeCell ref="F4:G4"/>
  </mergeCells>
  <pageMargins left="0.39370078740157483" right="0" top="0.39370078740157483" bottom="0.3937007874015748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workbookViewId="0">
      <pane xSplit="2" ySplit="7" topLeftCell="C113" activePane="bottomRight" state="frozen"/>
      <selection pane="topRight" activeCell="C1" sqref="C1"/>
      <selection pane="bottomLeft" activeCell="A8" sqref="A8"/>
      <selection pane="bottomRight" activeCell="D148" sqref="D148"/>
    </sheetView>
  </sheetViews>
  <sheetFormatPr defaultRowHeight="12.75" x14ac:dyDescent="0.2"/>
  <cols>
    <col min="1" max="1" width="5.42578125" style="66" customWidth="1"/>
    <col min="2" max="2" width="54.5703125" style="66" customWidth="1"/>
    <col min="3" max="3" width="13.28515625" style="66" customWidth="1"/>
    <col min="4" max="4" width="13" style="66" customWidth="1"/>
    <col min="5" max="5" width="12.85546875" style="66" customWidth="1"/>
    <col min="6" max="6" width="13" style="66" customWidth="1"/>
    <col min="7" max="16384" width="9.140625" style="66"/>
  </cols>
  <sheetData>
    <row r="1" spans="1:6" ht="18.75" customHeight="1" x14ac:dyDescent="0.2">
      <c r="A1" s="181" t="s">
        <v>184</v>
      </c>
      <c r="B1" s="181"/>
      <c r="C1" s="181"/>
      <c r="D1" s="181"/>
      <c r="E1" s="181"/>
      <c r="F1" s="181"/>
    </row>
    <row r="2" spans="1:6" ht="18.75" customHeight="1" x14ac:dyDescent="0.2">
      <c r="A2" s="181"/>
      <c r="B2" s="181"/>
      <c r="C2" s="181"/>
      <c r="D2" s="181"/>
      <c r="E2" s="181"/>
      <c r="F2" s="181"/>
    </row>
    <row r="3" spans="1:6" x14ac:dyDescent="0.2">
      <c r="A3" s="67"/>
    </row>
    <row r="4" spans="1:6" s="69" customFormat="1" x14ac:dyDescent="0.2">
      <c r="A4" s="68"/>
      <c r="E4" s="182" t="s">
        <v>185</v>
      </c>
      <c r="F4" s="182"/>
    </row>
    <row r="5" spans="1:6" s="69" customFormat="1" ht="15" customHeight="1" x14ac:dyDescent="0.2">
      <c r="A5" s="183" t="s">
        <v>48</v>
      </c>
      <c r="B5" s="183" t="s">
        <v>49</v>
      </c>
      <c r="C5" s="183" t="s">
        <v>186</v>
      </c>
      <c r="D5" s="183"/>
      <c r="E5" s="183"/>
      <c r="F5" s="183"/>
    </row>
    <row r="6" spans="1:6" s="69" customFormat="1" ht="63.75" customHeight="1" x14ac:dyDescent="0.2">
      <c r="A6" s="183"/>
      <c r="B6" s="183"/>
      <c r="C6" s="64" t="s">
        <v>187</v>
      </c>
      <c r="D6" s="64" t="s">
        <v>188</v>
      </c>
      <c r="E6" s="64" t="s">
        <v>189</v>
      </c>
      <c r="F6" s="64" t="s">
        <v>190</v>
      </c>
    </row>
    <row r="7" spans="1:6" s="69" customFormat="1" x14ac:dyDescent="0.2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</row>
    <row r="8" spans="1:6" s="69" customFormat="1" x14ac:dyDescent="0.2">
      <c r="A8" s="64">
        <v>1</v>
      </c>
      <c r="B8" s="70" t="s">
        <v>57</v>
      </c>
      <c r="C8" s="64">
        <f>D8+F8</f>
        <v>4675</v>
      </c>
      <c r="D8" s="64">
        <v>4675</v>
      </c>
      <c r="E8" s="64"/>
      <c r="F8" s="64"/>
    </row>
    <row r="9" spans="1:6" s="69" customFormat="1" x14ac:dyDescent="0.2">
      <c r="A9" s="64">
        <v>2</v>
      </c>
      <c r="B9" s="70" t="s">
        <v>58</v>
      </c>
      <c r="C9" s="64">
        <f t="shared" ref="C9:C77" si="0">D9+F9</f>
        <v>2064</v>
      </c>
      <c r="D9" s="64">
        <v>2064</v>
      </c>
      <c r="E9" s="64"/>
      <c r="F9" s="64"/>
    </row>
    <row r="10" spans="1:6" s="69" customFormat="1" x14ac:dyDescent="0.2">
      <c r="A10" s="64">
        <v>3</v>
      </c>
      <c r="B10" s="70" t="s">
        <v>59</v>
      </c>
      <c r="C10" s="64">
        <f t="shared" si="0"/>
        <v>1283</v>
      </c>
      <c r="D10" s="64">
        <v>1283</v>
      </c>
      <c r="E10" s="64"/>
      <c r="F10" s="64"/>
    </row>
    <row r="11" spans="1:6" s="69" customFormat="1" x14ac:dyDescent="0.2">
      <c r="A11" s="64">
        <v>4</v>
      </c>
      <c r="B11" s="70" t="s">
        <v>60</v>
      </c>
      <c r="C11" s="64">
        <f t="shared" si="0"/>
        <v>792</v>
      </c>
      <c r="D11" s="64">
        <v>792</v>
      </c>
      <c r="E11" s="64"/>
      <c r="F11" s="64"/>
    </row>
    <row r="12" spans="1:6" s="69" customFormat="1" x14ac:dyDescent="0.2">
      <c r="A12" s="64">
        <v>5</v>
      </c>
      <c r="B12" s="70" t="s">
        <v>61</v>
      </c>
      <c r="C12" s="64">
        <f t="shared" si="0"/>
        <v>1497</v>
      </c>
      <c r="D12" s="64">
        <v>1497</v>
      </c>
      <c r="E12" s="64"/>
      <c r="F12" s="64"/>
    </row>
    <row r="13" spans="1:6" s="69" customFormat="1" x14ac:dyDescent="0.2">
      <c r="A13" s="64">
        <v>6</v>
      </c>
      <c r="B13" s="70" t="s">
        <v>62</v>
      </c>
      <c r="C13" s="64">
        <f t="shared" si="0"/>
        <v>2295</v>
      </c>
      <c r="D13" s="64">
        <v>2295</v>
      </c>
      <c r="E13" s="64"/>
      <c r="F13" s="64"/>
    </row>
    <row r="14" spans="1:6" s="69" customFormat="1" x14ac:dyDescent="0.2">
      <c r="A14" s="64">
        <v>7</v>
      </c>
      <c r="B14" s="70" t="s">
        <v>63</v>
      </c>
      <c r="C14" s="64">
        <f t="shared" si="0"/>
        <v>5309</v>
      </c>
      <c r="D14" s="64">
        <v>5309</v>
      </c>
      <c r="E14" s="64"/>
      <c r="F14" s="64"/>
    </row>
    <row r="15" spans="1:6" s="69" customFormat="1" x14ac:dyDescent="0.2">
      <c r="A15" s="64">
        <v>8</v>
      </c>
      <c r="B15" s="70" t="s">
        <v>64</v>
      </c>
      <c r="C15" s="64">
        <f t="shared" si="0"/>
        <v>3763</v>
      </c>
      <c r="D15" s="64">
        <v>3763</v>
      </c>
      <c r="E15" s="64"/>
      <c r="F15" s="64"/>
    </row>
    <row r="16" spans="1:6" s="69" customFormat="1" x14ac:dyDescent="0.2">
      <c r="A16" s="64">
        <v>9</v>
      </c>
      <c r="B16" s="70" t="s">
        <v>65</v>
      </c>
      <c r="C16" s="64">
        <f t="shared" si="0"/>
        <v>2183</v>
      </c>
      <c r="D16" s="64">
        <v>2183</v>
      </c>
      <c r="E16" s="64"/>
      <c r="F16" s="64"/>
    </row>
    <row r="17" spans="1:6" s="69" customFormat="1" x14ac:dyDescent="0.2">
      <c r="A17" s="64">
        <v>10</v>
      </c>
      <c r="B17" s="70" t="s">
        <v>66</v>
      </c>
      <c r="C17" s="64">
        <f t="shared" si="0"/>
        <v>941</v>
      </c>
      <c r="D17" s="64">
        <v>941</v>
      </c>
      <c r="E17" s="64"/>
      <c r="F17" s="64"/>
    </row>
    <row r="18" spans="1:6" s="69" customFormat="1" x14ac:dyDescent="0.2">
      <c r="A18" s="64">
        <v>11</v>
      </c>
      <c r="B18" s="70" t="s">
        <v>67</v>
      </c>
      <c r="C18" s="64">
        <f t="shared" si="0"/>
        <v>908</v>
      </c>
      <c r="D18" s="64">
        <v>908</v>
      </c>
      <c r="E18" s="64"/>
      <c r="F18" s="64"/>
    </row>
    <row r="19" spans="1:6" s="69" customFormat="1" x14ac:dyDescent="0.2">
      <c r="A19" s="64">
        <v>12</v>
      </c>
      <c r="B19" s="70" t="s">
        <v>68</v>
      </c>
      <c r="C19" s="64">
        <f t="shared" si="0"/>
        <v>2968</v>
      </c>
      <c r="D19" s="64">
        <v>2968</v>
      </c>
      <c r="E19" s="64"/>
      <c r="F19" s="64"/>
    </row>
    <row r="20" spans="1:6" s="69" customFormat="1" x14ac:dyDescent="0.2">
      <c r="A20" s="64">
        <v>13</v>
      </c>
      <c r="B20" s="70" t="s">
        <v>69</v>
      </c>
      <c r="C20" s="64">
        <f t="shared" si="0"/>
        <v>3138</v>
      </c>
      <c r="D20" s="64">
        <v>3138</v>
      </c>
      <c r="E20" s="64"/>
      <c r="F20" s="64"/>
    </row>
    <row r="21" spans="1:6" s="69" customFormat="1" x14ac:dyDescent="0.2">
      <c r="A21" s="64">
        <v>14</v>
      </c>
      <c r="B21" s="70" t="s">
        <v>70</v>
      </c>
      <c r="C21" s="64">
        <f t="shared" si="0"/>
        <v>7047</v>
      </c>
      <c r="D21" s="64">
        <v>7047</v>
      </c>
      <c r="E21" s="64"/>
      <c r="F21" s="64"/>
    </row>
    <row r="22" spans="1:6" s="73" customFormat="1" ht="25.5" x14ac:dyDescent="0.2">
      <c r="A22" s="64">
        <v>15</v>
      </c>
      <c r="B22" s="71" t="s">
        <v>71</v>
      </c>
      <c r="C22" s="72">
        <f t="shared" si="0"/>
        <v>905</v>
      </c>
      <c r="D22" s="72">
        <v>905</v>
      </c>
      <c r="E22" s="72"/>
      <c r="F22" s="72"/>
    </row>
    <row r="23" spans="1:6" s="69" customFormat="1" x14ac:dyDescent="0.2">
      <c r="A23" s="64">
        <v>16</v>
      </c>
      <c r="B23" s="70" t="s">
        <v>72</v>
      </c>
      <c r="C23" s="64">
        <f t="shared" si="0"/>
        <v>2374</v>
      </c>
      <c r="D23" s="64">
        <v>2374</v>
      </c>
      <c r="E23" s="64"/>
      <c r="F23" s="64"/>
    </row>
    <row r="24" spans="1:6" s="69" customFormat="1" x14ac:dyDescent="0.2">
      <c r="A24" s="64">
        <v>17</v>
      </c>
      <c r="B24" s="70" t="s">
        <v>73</v>
      </c>
      <c r="C24" s="64">
        <f t="shared" si="0"/>
        <v>1110</v>
      </c>
      <c r="D24" s="64">
        <v>1110</v>
      </c>
      <c r="E24" s="64"/>
      <c r="F24" s="64"/>
    </row>
    <row r="25" spans="1:6" s="69" customFormat="1" x14ac:dyDescent="0.2">
      <c r="A25" s="64">
        <v>18</v>
      </c>
      <c r="B25" s="70" t="s">
        <v>74</v>
      </c>
      <c r="C25" s="64">
        <f t="shared" si="0"/>
        <v>1073</v>
      </c>
      <c r="D25" s="64">
        <f>1073</f>
        <v>1073</v>
      </c>
      <c r="E25" s="64"/>
      <c r="F25" s="64"/>
    </row>
    <row r="26" spans="1:6" s="69" customFormat="1" x14ac:dyDescent="0.2">
      <c r="A26" s="64">
        <v>19</v>
      </c>
      <c r="B26" s="70" t="s">
        <v>75</v>
      </c>
      <c r="C26" s="64">
        <f t="shared" si="0"/>
        <v>1229</v>
      </c>
      <c r="D26" s="64">
        <v>1229</v>
      </c>
      <c r="E26" s="64"/>
      <c r="F26" s="64"/>
    </row>
    <row r="27" spans="1:6" s="69" customFormat="1" x14ac:dyDescent="0.2">
      <c r="A27" s="64">
        <v>20</v>
      </c>
      <c r="B27" s="70" t="s">
        <v>76</v>
      </c>
      <c r="C27" s="64">
        <f t="shared" si="0"/>
        <v>1254</v>
      </c>
      <c r="D27" s="64">
        <v>1254</v>
      </c>
      <c r="E27" s="64"/>
      <c r="F27" s="64"/>
    </row>
    <row r="28" spans="1:6" s="69" customFormat="1" x14ac:dyDescent="0.2">
      <c r="A28" s="64">
        <v>21</v>
      </c>
      <c r="B28" s="70" t="s">
        <v>77</v>
      </c>
      <c r="C28" s="64">
        <f t="shared" si="0"/>
        <v>1395</v>
      </c>
      <c r="D28" s="64">
        <v>1395</v>
      </c>
      <c r="E28" s="64"/>
      <c r="F28" s="64"/>
    </row>
    <row r="29" spans="1:6" s="69" customFormat="1" x14ac:dyDescent="0.2">
      <c r="A29" s="64">
        <v>22</v>
      </c>
      <c r="B29" s="70" t="s">
        <v>78</v>
      </c>
      <c r="C29" s="64">
        <f t="shared" si="0"/>
        <v>1309</v>
      </c>
      <c r="D29" s="64">
        <v>1309</v>
      </c>
      <c r="E29" s="64"/>
      <c r="F29" s="64"/>
    </row>
    <row r="30" spans="1:6" s="69" customFormat="1" x14ac:dyDescent="0.2">
      <c r="A30" s="64">
        <v>23</v>
      </c>
      <c r="B30" s="70" t="s">
        <v>79</v>
      </c>
      <c r="C30" s="64">
        <f t="shared" si="0"/>
        <v>1401</v>
      </c>
      <c r="D30" s="64">
        <v>1401</v>
      </c>
      <c r="E30" s="64"/>
      <c r="F30" s="64"/>
    </row>
    <row r="31" spans="1:6" s="69" customFormat="1" x14ac:dyDescent="0.2">
      <c r="A31" s="64">
        <v>24</v>
      </c>
      <c r="B31" s="70" t="s">
        <v>80</v>
      </c>
      <c r="C31" s="64">
        <f t="shared" si="0"/>
        <v>1300</v>
      </c>
      <c r="D31" s="64">
        <v>1300</v>
      </c>
      <c r="E31" s="64"/>
      <c r="F31" s="64"/>
    </row>
    <row r="32" spans="1:6" s="69" customFormat="1" x14ac:dyDescent="0.2">
      <c r="A32" s="64">
        <v>25</v>
      </c>
      <c r="B32" s="70" t="s">
        <v>8</v>
      </c>
      <c r="C32" s="64">
        <f t="shared" si="0"/>
        <v>1501</v>
      </c>
      <c r="D32" s="64">
        <v>1501</v>
      </c>
      <c r="E32" s="64"/>
      <c r="F32" s="64"/>
    </row>
    <row r="33" spans="1:6" s="69" customFormat="1" x14ac:dyDescent="0.2">
      <c r="A33" s="64">
        <v>26</v>
      </c>
      <c r="B33" s="70" t="s">
        <v>81</v>
      </c>
      <c r="C33" s="64">
        <f t="shared" si="0"/>
        <v>993</v>
      </c>
      <c r="D33" s="64">
        <v>993</v>
      </c>
      <c r="E33" s="64"/>
      <c r="F33" s="64"/>
    </row>
    <row r="34" spans="1:6" s="69" customFormat="1" x14ac:dyDescent="0.2">
      <c r="A34" s="64">
        <v>27</v>
      </c>
      <c r="B34" s="70" t="s">
        <v>82</v>
      </c>
      <c r="C34" s="64">
        <f t="shared" si="0"/>
        <v>1191</v>
      </c>
      <c r="D34" s="64">
        <v>1191</v>
      </c>
      <c r="E34" s="64"/>
      <c r="F34" s="64"/>
    </row>
    <row r="35" spans="1:6" s="69" customFormat="1" x14ac:dyDescent="0.2">
      <c r="A35" s="64">
        <v>28</v>
      </c>
      <c r="B35" s="70" t="s">
        <v>83</v>
      </c>
      <c r="C35" s="64">
        <f t="shared" si="0"/>
        <v>936</v>
      </c>
      <c r="D35" s="64">
        <v>936</v>
      </c>
      <c r="E35" s="64"/>
      <c r="F35" s="64"/>
    </row>
    <row r="36" spans="1:6" s="69" customFormat="1" x14ac:dyDescent="0.2">
      <c r="A36" s="64">
        <v>29</v>
      </c>
      <c r="B36" s="70" t="s">
        <v>84</v>
      </c>
      <c r="C36" s="64">
        <f t="shared" si="0"/>
        <v>1383</v>
      </c>
      <c r="D36" s="64">
        <v>1383</v>
      </c>
      <c r="E36" s="64"/>
      <c r="F36" s="64"/>
    </row>
    <row r="37" spans="1:6" s="69" customFormat="1" x14ac:dyDescent="0.2">
      <c r="A37" s="64">
        <v>30</v>
      </c>
      <c r="B37" s="70" t="s">
        <v>85</v>
      </c>
      <c r="C37" s="64">
        <f t="shared" si="0"/>
        <v>3057</v>
      </c>
      <c r="D37" s="64">
        <v>3057</v>
      </c>
      <c r="E37" s="64"/>
      <c r="F37" s="64"/>
    </row>
    <row r="38" spans="1:6" s="69" customFormat="1" x14ac:dyDescent="0.2">
      <c r="A38" s="64">
        <v>31</v>
      </c>
      <c r="B38" s="70" t="s">
        <v>86</v>
      </c>
      <c r="C38" s="64">
        <f t="shared" si="0"/>
        <v>3053</v>
      </c>
      <c r="D38" s="64">
        <v>3053</v>
      </c>
      <c r="E38" s="64"/>
      <c r="F38" s="64"/>
    </row>
    <row r="39" spans="1:6" s="69" customFormat="1" x14ac:dyDescent="0.2">
      <c r="A39" s="64">
        <v>32</v>
      </c>
      <c r="B39" s="70" t="s">
        <v>87</v>
      </c>
      <c r="C39" s="64">
        <f t="shared" si="0"/>
        <v>1644</v>
      </c>
      <c r="D39" s="64">
        <v>1644</v>
      </c>
      <c r="E39" s="64"/>
      <c r="F39" s="64"/>
    </row>
    <row r="40" spans="1:6" s="69" customFormat="1" x14ac:dyDescent="0.2">
      <c r="A40" s="64">
        <v>33</v>
      </c>
      <c r="B40" s="70" t="s">
        <v>88</v>
      </c>
      <c r="C40" s="64">
        <f t="shared" si="0"/>
        <v>807</v>
      </c>
      <c r="D40" s="64">
        <f>807</f>
        <v>807</v>
      </c>
      <c r="E40" s="64"/>
      <c r="F40" s="64"/>
    </row>
    <row r="41" spans="1:6" s="69" customFormat="1" x14ac:dyDescent="0.2">
      <c r="A41" s="64">
        <v>34</v>
      </c>
      <c r="B41" s="70" t="s">
        <v>89</v>
      </c>
      <c r="C41" s="64">
        <f t="shared" si="0"/>
        <v>2639</v>
      </c>
      <c r="D41" s="64">
        <f>2659-20</f>
        <v>2639</v>
      </c>
      <c r="E41" s="64"/>
      <c r="F41" s="64"/>
    </row>
    <row r="42" spans="1:6" s="69" customFormat="1" x14ac:dyDescent="0.2">
      <c r="A42" s="64">
        <v>35</v>
      </c>
      <c r="B42" s="70" t="s">
        <v>90</v>
      </c>
      <c r="C42" s="64">
        <f t="shared" si="0"/>
        <v>2945</v>
      </c>
      <c r="D42" s="64">
        <f>2967-22</f>
        <v>2945</v>
      </c>
      <c r="E42" s="64"/>
      <c r="F42" s="64"/>
    </row>
    <row r="43" spans="1:6" s="69" customFormat="1" x14ac:dyDescent="0.2">
      <c r="A43" s="64">
        <v>36</v>
      </c>
      <c r="B43" s="70" t="s">
        <v>91</v>
      </c>
      <c r="C43" s="64">
        <f t="shared" si="0"/>
        <v>3055</v>
      </c>
      <c r="D43" s="64">
        <f>3078-23</f>
        <v>3055</v>
      </c>
      <c r="E43" s="64"/>
      <c r="F43" s="64"/>
    </row>
    <row r="44" spans="1:6" s="69" customFormat="1" x14ac:dyDescent="0.2">
      <c r="A44" s="64">
        <v>37</v>
      </c>
      <c r="B44" s="70" t="s">
        <v>92</v>
      </c>
      <c r="C44" s="64">
        <f t="shared" si="0"/>
        <v>1551</v>
      </c>
      <c r="D44" s="64">
        <f>1563-12</f>
        <v>1551</v>
      </c>
      <c r="E44" s="64"/>
      <c r="F44" s="64"/>
    </row>
    <row r="45" spans="1:6" s="73" customFormat="1" ht="24.75" customHeight="1" x14ac:dyDescent="0.2">
      <c r="A45" s="64">
        <v>38</v>
      </c>
      <c r="B45" s="74" t="s">
        <v>93</v>
      </c>
      <c r="C45" s="72">
        <f t="shared" si="0"/>
        <v>2072</v>
      </c>
      <c r="D45" s="72">
        <v>2072</v>
      </c>
      <c r="E45" s="72"/>
      <c r="F45" s="72"/>
    </row>
    <row r="46" spans="1:6" s="69" customFormat="1" x14ac:dyDescent="0.2">
      <c r="A46" s="64">
        <v>39</v>
      </c>
      <c r="B46" s="75" t="s">
        <v>191</v>
      </c>
      <c r="C46" s="64">
        <f t="shared" si="0"/>
        <v>245</v>
      </c>
      <c r="D46" s="64">
        <f>165+80</f>
        <v>245</v>
      </c>
      <c r="E46" s="64"/>
      <c r="F46" s="64"/>
    </row>
    <row r="47" spans="1:6" s="69" customFormat="1" x14ac:dyDescent="0.2">
      <c r="A47" s="64">
        <v>40</v>
      </c>
      <c r="B47" s="70" t="s">
        <v>95</v>
      </c>
      <c r="C47" s="64">
        <f t="shared" si="0"/>
        <v>1820</v>
      </c>
      <c r="D47" s="64">
        <f>1820</f>
        <v>1820</v>
      </c>
      <c r="E47" s="64"/>
      <c r="F47" s="64"/>
    </row>
    <row r="48" spans="1:6" s="69" customFormat="1" x14ac:dyDescent="0.2">
      <c r="A48" s="64">
        <v>41</v>
      </c>
      <c r="B48" s="70" t="s">
        <v>96</v>
      </c>
      <c r="C48" s="64">
        <f t="shared" si="0"/>
        <v>294</v>
      </c>
      <c r="D48" s="64">
        <v>294</v>
      </c>
      <c r="E48" s="64"/>
      <c r="F48" s="64"/>
    </row>
    <row r="49" spans="1:6" s="69" customFormat="1" ht="16.5" customHeight="1" x14ac:dyDescent="0.2">
      <c r="A49" s="64">
        <v>42</v>
      </c>
      <c r="B49" s="75" t="s">
        <v>192</v>
      </c>
      <c r="C49" s="64">
        <f t="shared" si="0"/>
        <v>345</v>
      </c>
      <c r="D49" s="64">
        <f>348-3</f>
        <v>345</v>
      </c>
      <c r="E49" s="64"/>
      <c r="F49" s="64"/>
    </row>
    <row r="50" spans="1:6" s="69" customFormat="1" x14ac:dyDescent="0.2">
      <c r="A50" s="64">
        <v>43</v>
      </c>
      <c r="B50" s="75" t="s">
        <v>193</v>
      </c>
      <c r="C50" s="64">
        <f t="shared" si="0"/>
        <v>360</v>
      </c>
      <c r="D50" s="64">
        <v>360</v>
      </c>
      <c r="E50" s="64"/>
      <c r="F50" s="64"/>
    </row>
    <row r="51" spans="1:6" s="69" customFormat="1" x14ac:dyDescent="0.2">
      <c r="A51" s="64">
        <v>44</v>
      </c>
      <c r="B51" s="70" t="s">
        <v>97</v>
      </c>
      <c r="C51" s="64">
        <f t="shared" si="0"/>
        <v>4516</v>
      </c>
      <c r="D51" s="64">
        <v>4516</v>
      </c>
      <c r="E51" s="64"/>
      <c r="F51" s="64"/>
    </row>
    <row r="52" spans="1:6" s="69" customFormat="1" x14ac:dyDescent="0.2">
      <c r="A52" s="64">
        <v>45</v>
      </c>
      <c r="B52" s="70" t="s">
        <v>98</v>
      </c>
      <c r="C52" s="64">
        <f t="shared" si="0"/>
        <v>3331</v>
      </c>
      <c r="D52" s="64">
        <v>3331</v>
      </c>
      <c r="E52" s="64"/>
      <c r="F52" s="64"/>
    </row>
    <row r="53" spans="1:6" s="73" customFormat="1" ht="25.5" x14ac:dyDescent="0.2">
      <c r="A53" s="64">
        <v>46</v>
      </c>
      <c r="B53" s="74" t="s">
        <v>194</v>
      </c>
      <c r="C53" s="21">
        <f t="shared" si="0"/>
        <v>1225</v>
      </c>
      <c r="D53" s="72">
        <v>1225</v>
      </c>
      <c r="E53" s="72"/>
      <c r="F53" s="72"/>
    </row>
    <row r="54" spans="1:6" s="69" customFormat="1" x14ac:dyDescent="0.2">
      <c r="A54" s="64">
        <v>47</v>
      </c>
      <c r="B54" s="70" t="s">
        <v>100</v>
      </c>
      <c r="C54" s="64">
        <f t="shared" si="0"/>
        <v>4309</v>
      </c>
      <c r="D54" s="64">
        <v>4309</v>
      </c>
      <c r="E54" s="64"/>
      <c r="F54" s="64"/>
    </row>
    <row r="55" spans="1:6" s="69" customFormat="1" x14ac:dyDescent="0.2">
      <c r="A55" s="64">
        <v>48</v>
      </c>
      <c r="B55" s="70" t="s">
        <v>101</v>
      </c>
      <c r="C55" s="64">
        <f t="shared" si="0"/>
        <v>4024</v>
      </c>
      <c r="D55" s="64">
        <f>4774-750</f>
        <v>4024</v>
      </c>
      <c r="E55" s="64"/>
      <c r="F55" s="64"/>
    </row>
    <row r="56" spans="1:6" s="73" customFormat="1" ht="23.25" customHeight="1" x14ac:dyDescent="0.2">
      <c r="A56" s="64">
        <v>49</v>
      </c>
      <c r="B56" s="74" t="s">
        <v>102</v>
      </c>
      <c r="C56" s="72">
        <f t="shared" si="0"/>
        <v>1402</v>
      </c>
      <c r="D56" s="72">
        <v>1402</v>
      </c>
      <c r="E56" s="72"/>
      <c r="F56" s="72"/>
    </row>
    <row r="57" spans="1:6" s="73" customFormat="1" ht="12" customHeight="1" x14ac:dyDescent="0.2">
      <c r="A57" s="64">
        <v>50</v>
      </c>
      <c r="B57" s="74" t="s">
        <v>103</v>
      </c>
      <c r="C57" s="72">
        <f t="shared" si="0"/>
        <v>750</v>
      </c>
      <c r="D57" s="72">
        <v>750</v>
      </c>
      <c r="E57" s="72"/>
      <c r="F57" s="72"/>
    </row>
    <row r="58" spans="1:6" s="69" customFormat="1" x14ac:dyDescent="0.2">
      <c r="A58" s="64">
        <v>51</v>
      </c>
      <c r="B58" s="70" t="s">
        <v>104</v>
      </c>
      <c r="C58" s="64">
        <f t="shared" si="0"/>
        <v>207</v>
      </c>
      <c r="D58" s="64">
        <v>207</v>
      </c>
      <c r="E58" s="64"/>
      <c r="F58" s="64"/>
    </row>
    <row r="59" spans="1:6" s="69" customFormat="1" x14ac:dyDescent="0.2">
      <c r="A59" s="64">
        <v>52</v>
      </c>
      <c r="B59" s="70" t="s">
        <v>105</v>
      </c>
      <c r="C59" s="64">
        <f t="shared" si="0"/>
        <v>1475</v>
      </c>
      <c r="D59" s="64">
        <v>1475</v>
      </c>
      <c r="E59" s="64"/>
      <c r="F59" s="64"/>
    </row>
    <row r="60" spans="1:6" s="69" customFormat="1" x14ac:dyDescent="0.2">
      <c r="A60" s="64">
        <v>53</v>
      </c>
      <c r="B60" s="70" t="s">
        <v>106</v>
      </c>
      <c r="C60" s="64">
        <f t="shared" si="0"/>
        <v>1803</v>
      </c>
      <c r="D60" s="64">
        <v>1803</v>
      </c>
      <c r="E60" s="64"/>
      <c r="F60" s="64"/>
    </row>
    <row r="61" spans="1:6" s="69" customFormat="1" x14ac:dyDescent="0.2">
      <c r="A61" s="64">
        <v>54</v>
      </c>
      <c r="B61" s="70" t="s">
        <v>107</v>
      </c>
      <c r="C61" s="64">
        <f t="shared" si="0"/>
        <v>1647</v>
      </c>
      <c r="D61" s="64">
        <v>1647</v>
      </c>
      <c r="E61" s="64"/>
      <c r="F61" s="64"/>
    </row>
    <row r="62" spans="1:6" s="69" customFormat="1" x14ac:dyDescent="0.2">
      <c r="A62" s="64">
        <v>55</v>
      </c>
      <c r="B62" s="70" t="s">
        <v>108</v>
      </c>
      <c r="C62" s="64">
        <f t="shared" si="0"/>
        <v>1056</v>
      </c>
      <c r="D62" s="64">
        <v>1056</v>
      </c>
      <c r="E62" s="64"/>
      <c r="F62" s="64"/>
    </row>
    <row r="63" spans="1:6" s="69" customFormat="1" x14ac:dyDescent="0.2">
      <c r="A63" s="64">
        <v>56</v>
      </c>
      <c r="B63" s="70" t="s">
        <v>109</v>
      </c>
      <c r="C63" s="64">
        <f t="shared" si="0"/>
        <v>1834</v>
      </c>
      <c r="D63" s="64">
        <v>1834</v>
      </c>
      <c r="E63" s="64"/>
      <c r="F63" s="64"/>
    </row>
    <row r="64" spans="1:6" s="69" customFormat="1" x14ac:dyDescent="0.2">
      <c r="A64" s="64">
        <v>57</v>
      </c>
      <c r="B64" s="70" t="s">
        <v>110</v>
      </c>
      <c r="C64" s="64">
        <f t="shared" si="0"/>
        <v>877</v>
      </c>
      <c r="D64" s="64">
        <v>877</v>
      </c>
      <c r="E64" s="64"/>
      <c r="F64" s="64"/>
    </row>
    <row r="65" spans="1:6" s="69" customFormat="1" x14ac:dyDescent="0.2">
      <c r="A65" s="64">
        <v>58</v>
      </c>
      <c r="B65" s="70" t="s">
        <v>195</v>
      </c>
      <c r="C65" s="64">
        <f t="shared" si="0"/>
        <v>160</v>
      </c>
      <c r="D65" s="64">
        <f>230-70</f>
        <v>160</v>
      </c>
      <c r="E65" s="64"/>
      <c r="F65" s="64"/>
    </row>
    <row r="66" spans="1:6" s="69" customFormat="1" x14ac:dyDescent="0.2">
      <c r="A66" s="64">
        <v>59</v>
      </c>
      <c r="B66" s="70" t="s">
        <v>112</v>
      </c>
      <c r="C66" s="64">
        <f t="shared" si="0"/>
        <v>6546</v>
      </c>
      <c r="D66" s="64">
        <v>6546</v>
      </c>
      <c r="E66" s="64"/>
      <c r="F66" s="64"/>
    </row>
    <row r="67" spans="1:6" s="69" customFormat="1" x14ac:dyDescent="0.2">
      <c r="A67" s="64">
        <v>60</v>
      </c>
      <c r="B67" s="70" t="s">
        <v>113</v>
      </c>
      <c r="C67" s="64">
        <f t="shared" si="0"/>
        <v>5402</v>
      </c>
      <c r="D67" s="64">
        <v>5402</v>
      </c>
      <c r="E67" s="64"/>
      <c r="F67" s="64"/>
    </row>
    <row r="68" spans="1:6" s="69" customFormat="1" x14ac:dyDescent="0.2">
      <c r="A68" s="64">
        <v>61</v>
      </c>
      <c r="B68" s="70" t="s">
        <v>114</v>
      </c>
      <c r="C68" s="64">
        <f t="shared" si="0"/>
        <v>1495</v>
      </c>
      <c r="D68" s="64">
        <v>1495</v>
      </c>
      <c r="E68" s="64"/>
      <c r="F68" s="64"/>
    </row>
    <row r="69" spans="1:6" s="69" customFormat="1" x14ac:dyDescent="0.2">
      <c r="A69" s="64">
        <v>62</v>
      </c>
      <c r="B69" s="70" t="s">
        <v>115</v>
      </c>
      <c r="C69" s="64">
        <f t="shared" si="0"/>
        <v>1722</v>
      </c>
      <c r="D69" s="64">
        <f>1722</f>
        <v>1722</v>
      </c>
      <c r="E69" s="64"/>
      <c r="F69" s="64"/>
    </row>
    <row r="70" spans="1:6" s="69" customFormat="1" x14ac:dyDescent="0.2">
      <c r="A70" s="64">
        <v>63</v>
      </c>
      <c r="B70" s="70" t="s">
        <v>116</v>
      </c>
      <c r="C70" s="64">
        <f t="shared" si="0"/>
        <v>1274</v>
      </c>
      <c r="D70" s="64">
        <f>1169+105</f>
        <v>1274</v>
      </c>
      <c r="E70" s="64"/>
      <c r="F70" s="64"/>
    </row>
    <row r="71" spans="1:6" s="69" customFormat="1" x14ac:dyDescent="0.2">
      <c r="A71" s="64">
        <v>64</v>
      </c>
      <c r="B71" s="70" t="s">
        <v>196</v>
      </c>
      <c r="C71" s="64">
        <f t="shared" si="0"/>
        <v>1879</v>
      </c>
      <c r="D71" s="64">
        <f>1880-1</f>
        <v>1879</v>
      </c>
      <c r="E71" s="64"/>
      <c r="F71" s="64"/>
    </row>
    <row r="72" spans="1:6" s="69" customFormat="1" x14ac:dyDescent="0.2">
      <c r="A72" s="64">
        <v>65</v>
      </c>
      <c r="B72" s="70" t="s">
        <v>197</v>
      </c>
      <c r="C72" s="64">
        <f t="shared" si="0"/>
        <v>1593</v>
      </c>
      <c r="D72" s="64">
        <v>1593</v>
      </c>
      <c r="E72" s="64"/>
      <c r="F72" s="64"/>
    </row>
    <row r="73" spans="1:6" s="69" customFormat="1" x14ac:dyDescent="0.2">
      <c r="A73" s="64">
        <v>66</v>
      </c>
      <c r="B73" s="70" t="s">
        <v>198</v>
      </c>
      <c r="C73" s="64">
        <f t="shared" si="0"/>
        <v>2152</v>
      </c>
      <c r="D73" s="64">
        <v>2152</v>
      </c>
      <c r="E73" s="64"/>
      <c r="F73" s="64"/>
    </row>
    <row r="74" spans="1:6" s="69" customFormat="1" x14ac:dyDescent="0.2">
      <c r="A74" s="64">
        <v>67</v>
      </c>
      <c r="B74" s="70" t="s">
        <v>199</v>
      </c>
      <c r="C74" s="64">
        <f t="shared" si="0"/>
        <v>2668</v>
      </c>
      <c r="D74" s="64">
        <f>2672-1-2-1</f>
        <v>2668</v>
      </c>
      <c r="E74" s="64"/>
      <c r="F74" s="64"/>
    </row>
    <row r="75" spans="1:6" s="69" customFormat="1" x14ac:dyDescent="0.2">
      <c r="A75" s="64">
        <v>68</v>
      </c>
      <c r="B75" s="70" t="s">
        <v>200</v>
      </c>
      <c r="C75" s="64">
        <f t="shared" si="0"/>
        <v>974</v>
      </c>
      <c r="D75" s="64">
        <v>974</v>
      </c>
      <c r="E75" s="64"/>
      <c r="F75" s="64"/>
    </row>
    <row r="76" spans="1:6" s="69" customFormat="1" x14ac:dyDescent="0.2">
      <c r="A76" s="64">
        <v>69</v>
      </c>
      <c r="B76" s="70" t="s">
        <v>201</v>
      </c>
      <c r="C76" s="64">
        <f t="shared" si="0"/>
        <v>3305</v>
      </c>
      <c r="D76" s="64">
        <v>3305</v>
      </c>
      <c r="E76" s="64"/>
      <c r="F76" s="64"/>
    </row>
    <row r="77" spans="1:6" s="69" customFormat="1" x14ac:dyDescent="0.2">
      <c r="A77" s="64">
        <v>70</v>
      </c>
      <c r="B77" s="70" t="s">
        <v>202</v>
      </c>
      <c r="C77" s="64">
        <f t="shared" si="0"/>
        <v>1794</v>
      </c>
      <c r="D77" s="64">
        <v>1794</v>
      </c>
      <c r="E77" s="64"/>
      <c r="F77" s="64"/>
    </row>
    <row r="78" spans="1:6" s="69" customFormat="1" x14ac:dyDescent="0.2">
      <c r="A78" s="64">
        <v>71</v>
      </c>
      <c r="B78" s="70" t="s">
        <v>203</v>
      </c>
      <c r="C78" s="64">
        <f t="shared" ref="C78:C133" si="1">D78+F78</f>
        <v>1721</v>
      </c>
      <c r="D78" s="64">
        <v>1721</v>
      </c>
      <c r="E78" s="64"/>
      <c r="F78" s="64"/>
    </row>
    <row r="79" spans="1:6" s="69" customFormat="1" x14ac:dyDescent="0.2">
      <c r="A79" s="64">
        <v>72</v>
      </c>
      <c r="B79" s="70" t="s">
        <v>204</v>
      </c>
      <c r="C79" s="64">
        <f t="shared" si="1"/>
        <v>1289</v>
      </c>
      <c r="D79" s="64">
        <v>1289</v>
      </c>
      <c r="E79" s="64"/>
      <c r="F79" s="64"/>
    </row>
    <row r="80" spans="1:6" s="69" customFormat="1" x14ac:dyDescent="0.2">
      <c r="A80" s="64">
        <v>73</v>
      </c>
      <c r="B80" s="70" t="s">
        <v>205</v>
      </c>
      <c r="C80" s="64">
        <f t="shared" si="1"/>
        <v>3769</v>
      </c>
      <c r="D80" s="64">
        <v>3769</v>
      </c>
      <c r="E80" s="64"/>
      <c r="F80" s="64"/>
    </row>
    <row r="81" spans="1:6" s="69" customFormat="1" x14ac:dyDescent="0.2">
      <c r="A81" s="64">
        <v>74</v>
      </c>
      <c r="B81" s="70" t="s">
        <v>206</v>
      </c>
      <c r="C81" s="64">
        <f t="shared" si="1"/>
        <v>2032</v>
      </c>
      <c r="D81" s="64">
        <v>2032</v>
      </c>
      <c r="E81" s="64"/>
      <c r="F81" s="64"/>
    </row>
    <row r="82" spans="1:6" s="69" customFormat="1" x14ac:dyDescent="0.2">
      <c r="A82" s="64">
        <v>75</v>
      </c>
      <c r="B82" s="70" t="s">
        <v>207</v>
      </c>
      <c r="C82" s="64">
        <f t="shared" si="1"/>
        <v>2063</v>
      </c>
      <c r="D82" s="64">
        <v>2063</v>
      </c>
      <c r="E82" s="64"/>
      <c r="F82" s="64"/>
    </row>
    <row r="83" spans="1:6" s="69" customFormat="1" x14ac:dyDescent="0.2">
      <c r="A83" s="64">
        <v>76</v>
      </c>
      <c r="B83" s="70" t="s">
        <v>208</v>
      </c>
      <c r="C83" s="64">
        <f t="shared" si="1"/>
        <v>1249</v>
      </c>
      <c r="D83" s="64">
        <v>1249</v>
      </c>
      <c r="E83" s="64"/>
      <c r="F83" s="64"/>
    </row>
    <row r="84" spans="1:6" s="69" customFormat="1" x14ac:dyDescent="0.2">
      <c r="A84" s="64">
        <v>77</v>
      </c>
      <c r="B84" s="70" t="s">
        <v>209</v>
      </c>
      <c r="C84" s="64">
        <f t="shared" si="1"/>
        <v>4078</v>
      </c>
      <c r="D84" s="64">
        <v>4078</v>
      </c>
      <c r="E84" s="64"/>
      <c r="F84" s="64"/>
    </row>
    <row r="85" spans="1:6" s="69" customFormat="1" x14ac:dyDescent="0.2">
      <c r="A85" s="64">
        <v>78</v>
      </c>
      <c r="B85" s="70" t="s">
        <v>210</v>
      </c>
      <c r="C85" s="64">
        <f t="shared" si="1"/>
        <v>1628</v>
      </c>
      <c r="D85" s="64">
        <v>1628</v>
      </c>
      <c r="E85" s="64"/>
      <c r="F85" s="64"/>
    </row>
    <row r="86" spans="1:6" s="69" customFormat="1" x14ac:dyDescent="0.2">
      <c r="A86" s="64">
        <v>79</v>
      </c>
      <c r="B86" s="70" t="s">
        <v>211</v>
      </c>
      <c r="C86" s="64">
        <f t="shared" si="1"/>
        <v>1797</v>
      </c>
      <c r="D86" s="64">
        <f>1597+200</f>
        <v>1797</v>
      </c>
      <c r="E86" s="64"/>
      <c r="F86" s="64"/>
    </row>
    <row r="87" spans="1:6" s="69" customFormat="1" x14ac:dyDescent="0.2">
      <c r="A87" s="64">
        <v>80</v>
      </c>
      <c r="B87" s="70" t="s">
        <v>117</v>
      </c>
      <c r="C87" s="64">
        <f t="shared" si="1"/>
        <v>3179</v>
      </c>
      <c r="D87" s="64">
        <f>3185-2-2-2</f>
        <v>3179</v>
      </c>
      <c r="E87" s="64"/>
      <c r="F87" s="64"/>
    </row>
    <row r="88" spans="1:6" s="69" customFormat="1" x14ac:dyDescent="0.2">
      <c r="A88" s="64">
        <v>81</v>
      </c>
      <c r="B88" s="70" t="s">
        <v>118</v>
      </c>
      <c r="C88" s="64">
        <f t="shared" si="1"/>
        <v>2399</v>
      </c>
      <c r="D88" s="64">
        <v>2399</v>
      </c>
      <c r="E88" s="64"/>
      <c r="F88" s="64"/>
    </row>
    <row r="89" spans="1:6" s="69" customFormat="1" x14ac:dyDescent="0.2">
      <c r="A89" s="64">
        <v>82</v>
      </c>
      <c r="B89" s="70" t="s">
        <v>119</v>
      </c>
      <c r="C89" s="64">
        <f t="shared" si="1"/>
        <v>1899</v>
      </c>
      <c r="D89" s="64">
        <f>1899</f>
        <v>1899</v>
      </c>
      <c r="E89" s="64"/>
      <c r="F89" s="64"/>
    </row>
    <row r="90" spans="1:6" s="69" customFormat="1" x14ac:dyDescent="0.2">
      <c r="A90" s="64">
        <v>83</v>
      </c>
      <c r="B90" s="70" t="s">
        <v>120</v>
      </c>
      <c r="C90" s="64">
        <f t="shared" si="1"/>
        <v>1077</v>
      </c>
      <c r="D90" s="64">
        <v>1077</v>
      </c>
      <c r="E90" s="64"/>
      <c r="F90" s="64"/>
    </row>
    <row r="91" spans="1:6" s="69" customFormat="1" x14ac:dyDescent="0.2">
      <c r="A91" s="64">
        <v>84</v>
      </c>
      <c r="B91" s="70" t="s">
        <v>121</v>
      </c>
      <c r="C91" s="64">
        <f t="shared" si="1"/>
        <v>1589</v>
      </c>
      <c r="D91" s="64">
        <v>1589</v>
      </c>
      <c r="E91" s="64"/>
      <c r="F91" s="64"/>
    </row>
    <row r="92" spans="1:6" s="69" customFormat="1" x14ac:dyDescent="0.2">
      <c r="A92" s="64">
        <v>85</v>
      </c>
      <c r="B92" s="70" t="s">
        <v>122</v>
      </c>
      <c r="C92" s="64">
        <f t="shared" si="1"/>
        <v>874</v>
      </c>
      <c r="D92" s="64">
        <v>874</v>
      </c>
      <c r="E92" s="64"/>
      <c r="F92" s="64"/>
    </row>
    <row r="93" spans="1:6" s="69" customFormat="1" x14ac:dyDescent="0.2">
      <c r="A93" s="64">
        <v>86</v>
      </c>
      <c r="B93" s="70" t="s">
        <v>123</v>
      </c>
      <c r="C93" s="64">
        <f t="shared" si="1"/>
        <v>4812</v>
      </c>
      <c r="D93" s="64">
        <f>4812</f>
        <v>4812</v>
      </c>
      <c r="E93" s="64"/>
      <c r="F93" s="64"/>
    </row>
    <row r="94" spans="1:6" s="69" customFormat="1" x14ac:dyDescent="0.2">
      <c r="A94" s="64">
        <v>87</v>
      </c>
      <c r="B94" s="70" t="s">
        <v>124</v>
      </c>
      <c r="C94" s="64">
        <f t="shared" si="1"/>
        <v>1626</v>
      </c>
      <c r="D94" s="64">
        <f>1626</f>
        <v>1626</v>
      </c>
      <c r="E94" s="64"/>
      <c r="F94" s="64"/>
    </row>
    <row r="95" spans="1:6" s="69" customFormat="1" x14ac:dyDescent="0.2">
      <c r="A95" s="64">
        <v>88</v>
      </c>
      <c r="B95" s="70" t="s">
        <v>125</v>
      </c>
      <c r="C95" s="64">
        <f t="shared" si="1"/>
        <v>2111</v>
      </c>
      <c r="D95" s="64">
        <f>2111</f>
        <v>2111</v>
      </c>
      <c r="E95" s="64"/>
      <c r="F95" s="64"/>
    </row>
    <row r="96" spans="1:6" s="69" customFormat="1" x14ac:dyDescent="0.2">
      <c r="A96" s="64">
        <v>89</v>
      </c>
      <c r="B96" s="70" t="s">
        <v>126</v>
      </c>
      <c r="C96" s="64">
        <f t="shared" si="1"/>
        <v>674</v>
      </c>
      <c r="D96" s="76">
        <v>674</v>
      </c>
      <c r="E96" s="76"/>
      <c r="F96" s="76"/>
    </row>
    <row r="97" spans="1:6" s="69" customFormat="1" x14ac:dyDescent="0.2">
      <c r="A97" s="64">
        <v>90</v>
      </c>
      <c r="B97" s="70" t="s">
        <v>127</v>
      </c>
      <c r="C97" s="64">
        <f t="shared" si="1"/>
        <v>2548</v>
      </c>
      <c r="D97" s="76">
        <v>2548</v>
      </c>
      <c r="E97" s="76"/>
      <c r="F97" s="76"/>
    </row>
    <row r="98" spans="1:6" s="69" customFormat="1" x14ac:dyDescent="0.2">
      <c r="A98" s="64">
        <v>91</v>
      </c>
      <c r="B98" s="70" t="s">
        <v>128</v>
      </c>
      <c r="C98" s="64">
        <f t="shared" si="1"/>
        <v>1007</v>
      </c>
      <c r="D98" s="76">
        <v>1007</v>
      </c>
      <c r="E98" s="76"/>
      <c r="F98" s="76"/>
    </row>
    <row r="99" spans="1:6" s="69" customFormat="1" x14ac:dyDescent="0.2">
      <c r="A99" s="64">
        <v>92</v>
      </c>
      <c r="B99" s="70" t="s">
        <v>129</v>
      </c>
      <c r="C99" s="64">
        <f t="shared" si="1"/>
        <v>1476</v>
      </c>
      <c r="D99" s="76">
        <f>1476</f>
        <v>1476</v>
      </c>
      <c r="E99" s="76"/>
      <c r="F99" s="76"/>
    </row>
    <row r="100" spans="1:6" s="69" customFormat="1" x14ac:dyDescent="0.2">
      <c r="A100" s="64">
        <v>93</v>
      </c>
      <c r="B100" s="70" t="s">
        <v>130</v>
      </c>
      <c r="C100" s="64">
        <f t="shared" si="1"/>
        <v>2610</v>
      </c>
      <c r="D100" s="76">
        <v>2610</v>
      </c>
      <c r="E100" s="76"/>
      <c r="F100" s="76"/>
    </row>
    <row r="101" spans="1:6" s="69" customFormat="1" x14ac:dyDescent="0.2">
      <c r="A101" s="64">
        <v>94</v>
      </c>
      <c r="B101" s="70" t="s">
        <v>131</v>
      </c>
      <c r="C101" s="64">
        <f t="shared" si="1"/>
        <v>2478</v>
      </c>
      <c r="D101" s="76">
        <v>2478</v>
      </c>
      <c r="E101" s="76"/>
      <c r="F101" s="76"/>
    </row>
    <row r="102" spans="1:6" s="69" customFormat="1" x14ac:dyDescent="0.2">
      <c r="A102" s="64">
        <v>95</v>
      </c>
      <c r="B102" s="70" t="s">
        <v>132</v>
      </c>
      <c r="C102" s="64">
        <f t="shared" si="1"/>
        <v>1457</v>
      </c>
      <c r="D102" s="76">
        <v>1457</v>
      </c>
      <c r="E102" s="76"/>
      <c r="F102" s="76"/>
    </row>
    <row r="103" spans="1:6" s="69" customFormat="1" x14ac:dyDescent="0.2">
      <c r="A103" s="64">
        <v>96</v>
      </c>
      <c r="B103" s="70" t="s">
        <v>133</v>
      </c>
      <c r="C103" s="64">
        <f t="shared" si="1"/>
        <v>1101</v>
      </c>
      <c r="D103" s="76">
        <v>1101</v>
      </c>
      <c r="E103" s="76"/>
      <c r="F103" s="76"/>
    </row>
    <row r="104" spans="1:6" s="69" customFormat="1" x14ac:dyDescent="0.2">
      <c r="A104" s="64">
        <v>97</v>
      </c>
      <c r="B104" s="70" t="s">
        <v>134</v>
      </c>
      <c r="C104" s="64">
        <f t="shared" si="1"/>
        <v>1565</v>
      </c>
      <c r="D104" s="76">
        <v>1565</v>
      </c>
      <c r="E104" s="76"/>
      <c r="F104" s="76"/>
    </row>
    <row r="105" spans="1:6" s="69" customFormat="1" x14ac:dyDescent="0.2">
      <c r="A105" s="64">
        <v>98</v>
      </c>
      <c r="B105" s="70" t="s">
        <v>135</v>
      </c>
      <c r="C105" s="64">
        <f t="shared" si="1"/>
        <v>2665</v>
      </c>
      <c r="D105" s="76">
        <v>2665</v>
      </c>
      <c r="E105" s="76"/>
      <c r="F105" s="76"/>
    </row>
    <row r="106" spans="1:6" s="69" customFormat="1" x14ac:dyDescent="0.2">
      <c r="A106" s="64">
        <v>99</v>
      </c>
      <c r="B106" s="70" t="s">
        <v>136</v>
      </c>
      <c r="C106" s="64">
        <f t="shared" si="1"/>
        <v>1256</v>
      </c>
      <c r="D106" s="76">
        <v>1256</v>
      </c>
      <c r="E106" s="76"/>
      <c r="F106" s="76"/>
    </row>
    <row r="107" spans="1:6" s="69" customFormat="1" ht="25.5" x14ac:dyDescent="0.2">
      <c r="A107" s="64">
        <v>100</v>
      </c>
      <c r="B107" s="75" t="s">
        <v>137</v>
      </c>
      <c r="C107" s="64">
        <f t="shared" si="1"/>
        <v>1009</v>
      </c>
      <c r="D107" s="76">
        <v>1009</v>
      </c>
      <c r="E107" s="76"/>
      <c r="F107" s="76"/>
    </row>
    <row r="108" spans="1:6" s="69" customFormat="1" x14ac:dyDescent="0.2">
      <c r="A108" s="64">
        <v>101</v>
      </c>
      <c r="B108" s="70" t="s">
        <v>42</v>
      </c>
      <c r="C108" s="64">
        <f t="shared" si="1"/>
        <v>374</v>
      </c>
      <c r="D108" s="76">
        <v>374</v>
      </c>
      <c r="E108" s="76"/>
      <c r="F108" s="76"/>
    </row>
    <row r="109" spans="1:6" s="69" customFormat="1" x14ac:dyDescent="0.2">
      <c r="A109" s="64">
        <v>102</v>
      </c>
      <c r="B109" s="70" t="s">
        <v>212</v>
      </c>
      <c r="C109" s="64">
        <f t="shared" si="1"/>
        <v>321</v>
      </c>
      <c r="D109" s="76">
        <v>321</v>
      </c>
      <c r="E109" s="76"/>
      <c r="F109" s="76"/>
    </row>
    <row r="110" spans="1:6" s="69" customFormat="1" x14ac:dyDescent="0.2">
      <c r="A110" s="64">
        <v>103</v>
      </c>
      <c r="B110" s="70" t="s">
        <v>213</v>
      </c>
      <c r="C110" s="64">
        <f t="shared" si="1"/>
        <v>750</v>
      </c>
      <c r="D110" s="77">
        <f>804+34-88</f>
        <v>750</v>
      </c>
      <c r="E110" s="76"/>
      <c r="F110" s="76"/>
    </row>
    <row r="111" spans="1:6" s="69" customFormat="1" x14ac:dyDescent="0.2">
      <c r="A111" s="64">
        <v>104</v>
      </c>
      <c r="B111" s="70" t="s">
        <v>182</v>
      </c>
      <c r="C111" s="64">
        <f t="shared" si="1"/>
        <v>88</v>
      </c>
      <c r="D111" s="77">
        <f>0+88</f>
        <v>88</v>
      </c>
      <c r="E111" s="76"/>
      <c r="F111" s="76"/>
    </row>
    <row r="112" spans="1:6" s="69" customFormat="1" x14ac:dyDescent="0.2">
      <c r="A112" s="64">
        <v>105</v>
      </c>
      <c r="B112" s="70" t="s">
        <v>214</v>
      </c>
      <c r="C112" s="64">
        <f t="shared" si="1"/>
        <v>589</v>
      </c>
      <c r="D112" s="76">
        <f>E112</f>
        <v>589</v>
      </c>
      <c r="E112" s="76">
        <v>589</v>
      </c>
      <c r="F112" s="76"/>
    </row>
    <row r="113" spans="1:6" s="69" customFormat="1" x14ac:dyDescent="0.2">
      <c r="A113" s="64">
        <v>106</v>
      </c>
      <c r="B113" s="70" t="s">
        <v>215</v>
      </c>
      <c r="C113" s="64">
        <f t="shared" si="1"/>
        <v>40</v>
      </c>
      <c r="D113" s="76">
        <f>40</f>
        <v>40</v>
      </c>
      <c r="E113" s="76"/>
      <c r="F113" s="76"/>
    </row>
    <row r="114" spans="1:6" s="69" customFormat="1" x14ac:dyDescent="0.2">
      <c r="A114" s="64">
        <v>107</v>
      </c>
      <c r="B114" s="70" t="s">
        <v>216</v>
      </c>
      <c r="C114" s="64">
        <f t="shared" si="1"/>
        <v>5703</v>
      </c>
      <c r="D114" s="77">
        <f>5691+12</f>
        <v>5703</v>
      </c>
      <c r="E114" s="76"/>
      <c r="F114" s="76"/>
    </row>
    <row r="115" spans="1:6" s="69" customFormat="1" x14ac:dyDescent="0.2">
      <c r="A115" s="64">
        <v>108</v>
      </c>
      <c r="B115" s="70" t="s">
        <v>217</v>
      </c>
      <c r="C115" s="64">
        <f t="shared" si="1"/>
        <v>511</v>
      </c>
      <c r="D115" s="76">
        <f>E115</f>
        <v>511</v>
      </c>
      <c r="E115" s="76">
        <v>511</v>
      </c>
      <c r="F115" s="76"/>
    </row>
    <row r="116" spans="1:6" s="69" customFormat="1" x14ac:dyDescent="0.2">
      <c r="A116" s="64">
        <v>109</v>
      </c>
      <c r="B116" s="69" t="s">
        <v>218</v>
      </c>
      <c r="C116" s="64">
        <f t="shared" si="1"/>
        <v>27</v>
      </c>
      <c r="D116" s="76">
        <f>40-13</f>
        <v>27</v>
      </c>
      <c r="E116" s="76"/>
      <c r="F116" s="76"/>
    </row>
    <row r="117" spans="1:6" s="69" customFormat="1" x14ac:dyDescent="0.2">
      <c r="A117" s="64">
        <v>110</v>
      </c>
      <c r="B117" s="70" t="s">
        <v>219</v>
      </c>
      <c r="C117" s="64">
        <f t="shared" si="1"/>
        <v>1041</v>
      </c>
      <c r="D117" s="76">
        <f>1044-2-1</f>
        <v>1041</v>
      </c>
      <c r="E117" s="76"/>
      <c r="F117" s="76"/>
    </row>
    <row r="118" spans="1:6" s="69" customFormat="1" x14ac:dyDescent="0.2">
      <c r="A118" s="64">
        <v>111</v>
      </c>
      <c r="B118" s="70" t="s">
        <v>220</v>
      </c>
      <c r="C118" s="64">
        <f t="shared" si="1"/>
        <v>378</v>
      </c>
      <c r="D118" s="76">
        <f>540-162</f>
        <v>378</v>
      </c>
      <c r="E118" s="76">
        <v>338</v>
      </c>
      <c r="F118" s="76"/>
    </row>
    <row r="119" spans="1:6" s="69" customFormat="1" x14ac:dyDescent="0.2">
      <c r="A119" s="64">
        <v>112</v>
      </c>
      <c r="B119" s="70" t="s">
        <v>179</v>
      </c>
      <c r="C119" s="64">
        <f t="shared" si="1"/>
        <v>2390</v>
      </c>
      <c r="D119" s="76">
        <f>2400-5-2-2-1</f>
        <v>2390</v>
      </c>
      <c r="E119" s="76"/>
      <c r="F119" s="76"/>
    </row>
    <row r="120" spans="1:6" s="69" customFormat="1" x14ac:dyDescent="0.2">
      <c r="A120" s="64">
        <v>113</v>
      </c>
      <c r="B120" s="70" t="s">
        <v>221</v>
      </c>
      <c r="C120" s="64">
        <f t="shared" si="1"/>
        <v>2181</v>
      </c>
      <c r="D120" s="76">
        <v>2181</v>
      </c>
      <c r="E120" s="76"/>
      <c r="F120" s="76"/>
    </row>
    <row r="121" spans="1:6" s="69" customFormat="1" x14ac:dyDescent="0.2">
      <c r="A121" s="64">
        <v>114</v>
      </c>
      <c r="B121" s="70" t="s">
        <v>40</v>
      </c>
      <c r="C121" s="64">
        <f t="shared" si="1"/>
        <v>5000</v>
      </c>
      <c r="D121" s="76">
        <v>5000</v>
      </c>
      <c r="E121" s="76"/>
      <c r="F121" s="76"/>
    </row>
    <row r="122" spans="1:6" s="69" customFormat="1" x14ac:dyDescent="0.2">
      <c r="A122" s="64">
        <v>115</v>
      </c>
      <c r="B122" s="70" t="s">
        <v>11</v>
      </c>
      <c r="C122" s="64">
        <f t="shared" si="1"/>
        <v>360</v>
      </c>
      <c r="D122" s="76">
        <v>360</v>
      </c>
      <c r="E122" s="76"/>
      <c r="F122" s="76"/>
    </row>
    <row r="123" spans="1:6" s="69" customFormat="1" x14ac:dyDescent="0.2">
      <c r="A123" s="64">
        <v>116</v>
      </c>
      <c r="B123" s="70" t="s">
        <v>143</v>
      </c>
      <c r="C123" s="64">
        <f t="shared" si="1"/>
        <v>6960</v>
      </c>
      <c r="D123" s="76">
        <f>7000-40</f>
        <v>6960</v>
      </c>
      <c r="E123" s="76"/>
      <c r="F123" s="76"/>
    </row>
    <row r="124" spans="1:6" s="69" customFormat="1" x14ac:dyDescent="0.2">
      <c r="A124" s="64">
        <v>117</v>
      </c>
      <c r="B124" s="70" t="s">
        <v>144</v>
      </c>
      <c r="C124" s="64">
        <f t="shared" si="1"/>
        <v>1724</v>
      </c>
      <c r="D124" s="76">
        <v>1724</v>
      </c>
      <c r="E124" s="76"/>
      <c r="F124" s="76"/>
    </row>
    <row r="125" spans="1:6" s="69" customFormat="1" x14ac:dyDescent="0.2">
      <c r="A125" s="64">
        <v>118</v>
      </c>
      <c r="B125" s="70" t="s">
        <v>222</v>
      </c>
      <c r="C125" s="64">
        <f t="shared" si="1"/>
        <v>2371</v>
      </c>
      <c r="D125" s="76">
        <f>3321-950</f>
        <v>2371</v>
      </c>
      <c r="E125" s="76"/>
      <c r="F125" s="76"/>
    </row>
    <row r="126" spans="1:6" s="69" customFormat="1" x14ac:dyDescent="0.2">
      <c r="A126" s="64">
        <v>119</v>
      </c>
      <c r="B126" s="70" t="s">
        <v>223</v>
      </c>
      <c r="C126" s="64">
        <f t="shared" si="1"/>
        <v>2904</v>
      </c>
      <c r="D126" s="76">
        <f>2676-500+728</f>
        <v>2904</v>
      </c>
      <c r="E126" s="76">
        <f>500-500</f>
        <v>0</v>
      </c>
      <c r="F126" s="76"/>
    </row>
    <row r="127" spans="1:6" s="69" customFormat="1" x14ac:dyDescent="0.2">
      <c r="A127" s="64">
        <v>120</v>
      </c>
      <c r="B127" s="70" t="s">
        <v>224</v>
      </c>
      <c r="C127" s="64">
        <f t="shared" si="1"/>
        <v>556</v>
      </c>
      <c r="D127" s="76">
        <v>556</v>
      </c>
      <c r="E127" s="76">
        <v>556</v>
      </c>
      <c r="F127" s="76"/>
    </row>
    <row r="128" spans="1:6" s="69" customFormat="1" x14ac:dyDescent="0.2">
      <c r="A128" s="64">
        <v>121</v>
      </c>
      <c r="B128" s="70" t="s">
        <v>225</v>
      </c>
      <c r="C128" s="64">
        <f t="shared" si="1"/>
        <v>850</v>
      </c>
      <c r="D128" s="76">
        <v>850</v>
      </c>
      <c r="E128" s="76"/>
      <c r="F128" s="76"/>
    </row>
    <row r="129" spans="1:6" s="69" customFormat="1" x14ac:dyDescent="0.2">
      <c r="A129" s="64">
        <v>122</v>
      </c>
      <c r="B129" s="70" t="s">
        <v>10</v>
      </c>
      <c r="C129" s="64">
        <f t="shared" si="1"/>
        <v>600</v>
      </c>
      <c r="D129" s="76">
        <v>600</v>
      </c>
      <c r="E129" s="76"/>
      <c r="F129" s="76"/>
    </row>
    <row r="130" spans="1:6" s="69" customFormat="1" x14ac:dyDescent="0.2">
      <c r="A130" s="64">
        <v>123</v>
      </c>
      <c r="B130" s="70" t="s">
        <v>226</v>
      </c>
      <c r="C130" s="64">
        <f t="shared" si="1"/>
        <v>3200</v>
      </c>
      <c r="D130" s="76">
        <v>3200</v>
      </c>
      <c r="E130" s="76"/>
      <c r="F130" s="76"/>
    </row>
    <row r="131" spans="1:6" s="73" customFormat="1" ht="25.5" x14ac:dyDescent="0.2">
      <c r="A131" s="64">
        <v>124</v>
      </c>
      <c r="B131" s="74" t="s">
        <v>227</v>
      </c>
      <c r="C131" s="72">
        <f t="shared" si="1"/>
        <v>3450</v>
      </c>
      <c r="D131" s="78">
        <v>3450</v>
      </c>
      <c r="E131" s="78"/>
      <c r="F131" s="78"/>
    </row>
    <row r="132" spans="1:6" s="69" customFormat="1" x14ac:dyDescent="0.2">
      <c r="A132" s="64">
        <v>125</v>
      </c>
      <c r="B132" s="70" t="s">
        <v>228</v>
      </c>
      <c r="C132" s="64">
        <f t="shared" si="1"/>
        <v>357</v>
      </c>
      <c r="D132" s="76">
        <f>346+3+4+4</f>
        <v>357</v>
      </c>
      <c r="E132" s="76"/>
      <c r="F132" s="76"/>
    </row>
    <row r="133" spans="1:6" s="69" customFormat="1" ht="15.75" customHeight="1" x14ac:dyDescent="0.2">
      <c r="A133" s="65">
        <v>126</v>
      </c>
      <c r="B133" s="75" t="s">
        <v>229</v>
      </c>
      <c r="C133" s="64">
        <f t="shared" si="1"/>
        <v>419</v>
      </c>
      <c r="D133" s="76"/>
      <c r="E133" s="76"/>
      <c r="F133" s="76">
        <f>F135+F136</f>
        <v>419</v>
      </c>
    </row>
    <row r="134" spans="1:6" s="69" customFormat="1" x14ac:dyDescent="0.2">
      <c r="A134" s="79"/>
      <c r="B134" s="75" t="s">
        <v>230</v>
      </c>
      <c r="C134" s="64"/>
      <c r="D134" s="79"/>
      <c r="E134" s="79"/>
      <c r="F134" s="79"/>
    </row>
    <row r="135" spans="1:6" s="69" customFormat="1" ht="14.25" customHeight="1" x14ac:dyDescent="0.2">
      <c r="A135" s="79"/>
      <c r="B135" s="75" t="s">
        <v>231</v>
      </c>
      <c r="C135" s="64">
        <f t="shared" ref="C135:C137" si="2">D135+F135</f>
        <v>314</v>
      </c>
      <c r="D135" s="79"/>
      <c r="E135" s="79"/>
      <c r="F135" s="76">
        <f>383-69</f>
        <v>314</v>
      </c>
    </row>
    <row r="136" spans="1:6" s="69" customFormat="1" ht="13.5" customHeight="1" x14ac:dyDescent="0.2">
      <c r="A136" s="79"/>
      <c r="B136" s="75" t="s">
        <v>232</v>
      </c>
      <c r="C136" s="64">
        <f t="shared" si="2"/>
        <v>105</v>
      </c>
      <c r="D136" s="79"/>
      <c r="E136" s="79"/>
      <c r="F136" s="76">
        <f>60+45</f>
        <v>105</v>
      </c>
    </row>
    <row r="137" spans="1:6" s="69" customFormat="1" x14ac:dyDescent="0.2">
      <c r="A137" s="79"/>
      <c r="B137" s="70" t="s">
        <v>151</v>
      </c>
      <c r="C137" s="64">
        <f t="shared" si="2"/>
        <v>301</v>
      </c>
      <c r="D137" s="76">
        <f>295+16+6+8+12+10-46</f>
        <v>301</v>
      </c>
      <c r="E137" s="80">
        <v>6</v>
      </c>
      <c r="F137" s="79"/>
    </row>
    <row r="138" spans="1:6" s="69" customFormat="1" x14ac:dyDescent="0.2">
      <c r="A138" s="81"/>
      <c r="B138" s="82" t="s">
        <v>155</v>
      </c>
      <c r="C138" s="81">
        <f>SUM(C8:C133)+C137</f>
        <v>244007</v>
      </c>
      <c r="D138" s="81">
        <f t="shared" ref="D138:F138" si="3">SUM(D8:D133)+D137</f>
        <v>243588</v>
      </c>
      <c r="E138" s="81">
        <f t="shared" si="3"/>
        <v>2000</v>
      </c>
      <c r="F138" s="81">
        <f t="shared" si="3"/>
        <v>419</v>
      </c>
    </row>
  </sheetData>
  <mergeCells count="5">
    <mergeCell ref="A1:F2"/>
    <mergeCell ref="E4:F4"/>
    <mergeCell ref="A5:A6"/>
    <mergeCell ref="B5:B6"/>
    <mergeCell ref="C5:F5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70"/>
  <sheetViews>
    <sheetView zoomScale="110" zoomScaleNormal="110" workbookViewId="0">
      <pane xSplit="2" ySplit="8" topLeftCell="G141" activePane="bottomRight" state="frozen"/>
      <selection pane="topRight" activeCell="C1" sqref="C1"/>
      <selection pane="bottomLeft" activeCell="A7" sqref="A7"/>
      <selection pane="bottomRight" activeCell="B154" sqref="B154"/>
    </sheetView>
  </sheetViews>
  <sheetFormatPr defaultRowHeight="15" x14ac:dyDescent="0.25"/>
  <cols>
    <col min="1" max="1" width="4.28515625" style="83" customWidth="1"/>
    <col min="2" max="2" width="31.140625" style="85" customWidth="1"/>
    <col min="3" max="4" width="8.140625" style="83" customWidth="1"/>
    <col min="5" max="5" width="10.140625" style="83" customWidth="1"/>
    <col min="6" max="6" width="11.42578125" style="83" customWidth="1"/>
    <col min="7" max="7" width="11.7109375" style="83" customWidth="1"/>
    <col min="8" max="8" width="8" style="83" customWidth="1"/>
    <col min="9" max="10" width="8.28515625" style="83" customWidth="1"/>
    <col min="11" max="11" width="9.28515625" style="83" customWidth="1"/>
    <col min="12" max="12" width="7.7109375" style="83" customWidth="1"/>
    <col min="13" max="13" width="8.140625" style="83" customWidth="1"/>
    <col min="14" max="14" width="8" style="83" customWidth="1"/>
    <col min="15" max="15" width="8.42578125" style="83" customWidth="1"/>
    <col min="16" max="16" width="12.42578125" style="83" customWidth="1"/>
    <col min="17" max="16384" width="9.140625" style="83"/>
  </cols>
  <sheetData>
    <row r="1" spans="1:19" ht="18.75" x14ac:dyDescent="0.25">
      <c r="A1" s="184" t="s">
        <v>233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9" ht="15.75" x14ac:dyDescent="0.25">
      <c r="A2" s="84"/>
      <c r="R2" s="164" t="s">
        <v>371</v>
      </c>
    </row>
    <row r="3" spans="1:19" ht="11.25" customHeight="1" x14ac:dyDescent="0.25">
      <c r="A3" s="185" t="s">
        <v>48</v>
      </c>
      <c r="B3" s="185" t="s">
        <v>154</v>
      </c>
      <c r="C3" s="185" t="s">
        <v>234</v>
      </c>
      <c r="D3" s="185" t="s">
        <v>51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9" ht="22.5" customHeight="1" x14ac:dyDescent="0.25">
      <c r="A4" s="185"/>
      <c r="B4" s="185"/>
      <c r="C4" s="185"/>
      <c r="D4" s="185" t="s">
        <v>235</v>
      </c>
      <c r="E4" s="186" t="s">
        <v>236</v>
      </c>
      <c r="F4" s="187"/>
      <c r="G4" s="187"/>
      <c r="H4" s="188"/>
      <c r="I4" s="185" t="s">
        <v>237</v>
      </c>
      <c r="J4" s="185" t="s">
        <v>238</v>
      </c>
      <c r="K4" s="185" t="s">
        <v>239</v>
      </c>
      <c r="L4" s="185" t="s">
        <v>240</v>
      </c>
      <c r="M4" s="185" t="s">
        <v>51</v>
      </c>
      <c r="N4" s="185"/>
      <c r="O4" s="185" t="s">
        <v>241</v>
      </c>
      <c r="P4" s="185" t="s">
        <v>242</v>
      </c>
      <c r="Q4" s="186" t="s">
        <v>243</v>
      </c>
      <c r="R4" s="188"/>
    </row>
    <row r="5" spans="1:19" ht="17.25" customHeight="1" x14ac:dyDescent="0.25">
      <c r="A5" s="185"/>
      <c r="B5" s="185"/>
      <c r="C5" s="185"/>
      <c r="D5" s="185"/>
      <c r="E5" s="185" t="s">
        <v>244</v>
      </c>
      <c r="F5" s="185"/>
      <c r="G5" s="185"/>
      <c r="H5" s="192" t="s">
        <v>245</v>
      </c>
      <c r="I5" s="185"/>
      <c r="J5" s="185"/>
      <c r="K5" s="185"/>
      <c r="L5" s="185"/>
      <c r="M5" s="189" t="s">
        <v>246</v>
      </c>
      <c r="N5" s="189" t="s">
        <v>247</v>
      </c>
      <c r="O5" s="185"/>
      <c r="P5" s="185"/>
      <c r="Q5" s="185" t="s">
        <v>248</v>
      </c>
      <c r="R5" s="189" t="s">
        <v>249</v>
      </c>
    </row>
    <row r="6" spans="1:19" ht="13.5" customHeight="1" x14ac:dyDescent="0.25">
      <c r="A6" s="185"/>
      <c r="B6" s="185"/>
      <c r="C6" s="185"/>
      <c r="D6" s="185"/>
      <c r="E6" s="189" t="s">
        <v>33</v>
      </c>
      <c r="F6" s="186" t="s">
        <v>51</v>
      </c>
      <c r="G6" s="188"/>
      <c r="H6" s="193"/>
      <c r="I6" s="185"/>
      <c r="J6" s="185"/>
      <c r="K6" s="185"/>
      <c r="L6" s="185"/>
      <c r="M6" s="190"/>
      <c r="N6" s="190"/>
      <c r="O6" s="185"/>
      <c r="P6" s="185"/>
      <c r="Q6" s="185"/>
      <c r="R6" s="190"/>
    </row>
    <row r="7" spans="1:19" ht="34.5" customHeight="1" x14ac:dyDescent="0.25">
      <c r="A7" s="185"/>
      <c r="B7" s="185"/>
      <c r="C7" s="185"/>
      <c r="D7" s="185"/>
      <c r="E7" s="191"/>
      <c r="F7" s="86" t="s">
        <v>250</v>
      </c>
      <c r="G7" s="86" t="s">
        <v>251</v>
      </c>
      <c r="H7" s="194"/>
      <c r="I7" s="185"/>
      <c r="J7" s="185"/>
      <c r="K7" s="185"/>
      <c r="L7" s="185"/>
      <c r="M7" s="191"/>
      <c r="N7" s="191"/>
      <c r="O7" s="185"/>
      <c r="P7" s="185"/>
      <c r="Q7" s="185"/>
      <c r="R7" s="191"/>
    </row>
    <row r="8" spans="1:19" s="87" customFormat="1" ht="11.25" customHeight="1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3">
        <v>13</v>
      </c>
      <c r="N8" s="43">
        <v>14</v>
      </c>
      <c r="O8" s="43">
        <v>15</v>
      </c>
      <c r="P8" s="43">
        <v>16</v>
      </c>
      <c r="Q8" s="43">
        <v>17</v>
      </c>
      <c r="R8" s="43">
        <v>18</v>
      </c>
    </row>
    <row r="9" spans="1:19" s="87" customFormat="1" ht="12" x14ac:dyDescent="0.2">
      <c r="A9" s="43">
        <v>1</v>
      </c>
      <c r="B9" s="88" t="s">
        <v>57</v>
      </c>
      <c r="C9" s="47">
        <f>D9+E9+H9+I9+J9+K9+L9+O9+P9+Q9+R9</f>
        <v>185225</v>
      </c>
      <c r="D9" s="47"/>
      <c r="E9" s="47">
        <f>F9+G9</f>
        <v>18694</v>
      </c>
      <c r="F9" s="47">
        <f>17262-174</f>
        <v>17088</v>
      </c>
      <c r="G9" s="47">
        <v>1606</v>
      </c>
      <c r="H9" s="47">
        <v>3645</v>
      </c>
      <c r="I9" s="47">
        <v>1397</v>
      </c>
      <c r="J9" s="47">
        <v>7128</v>
      </c>
      <c r="K9" s="47">
        <v>82979</v>
      </c>
      <c r="L9" s="47">
        <f t="shared" ref="L9:L89" si="0">M9+N9</f>
        <v>1464</v>
      </c>
      <c r="M9" s="47">
        <v>982</v>
      </c>
      <c r="N9" s="47">
        <v>482</v>
      </c>
      <c r="O9" s="47"/>
      <c r="P9" s="47"/>
      <c r="Q9" s="47">
        <f>15023+3246+100+100</f>
        <v>18469</v>
      </c>
      <c r="R9" s="47">
        <f>53055-1606</f>
        <v>51449</v>
      </c>
      <c r="S9" s="89"/>
    </row>
    <row r="10" spans="1:19" s="87" customFormat="1" ht="15" customHeight="1" x14ac:dyDescent="0.2">
      <c r="A10" s="43">
        <v>2</v>
      </c>
      <c r="B10" s="88" t="s">
        <v>58</v>
      </c>
      <c r="C10" s="47">
        <f t="shared" ref="C10:C73" si="1">D10+E10+H10+I10+J10+K10+L10+O10+P10+Q10+R10</f>
        <v>81672</v>
      </c>
      <c r="D10" s="47"/>
      <c r="E10" s="47">
        <f t="shared" ref="E10:E73" si="2">F10+G10</f>
        <v>7908</v>
      </c>
      <c r="F10" s="47">
        <v>7251</v>
      </c>
      <c r="G10" s="47">
        <v>657</v>
      </c>
      <c r="H10" s="47">
        <v>2175</v>
      </c>
      <c r="I10" s="47">
        <v>2026</v>
      </c>
      <c r="J10" s="47">
        <v>2858</v>
      </c>
      <c r="K10" s="47">
        <v>33294</v>
      </c>
      <c r="L10" s="47">
        <f t="shared" si="0"/>
        <v>1464</v>
      </c>
      <c r="M10" s="47">
        <v>904</v>
      </c>
      <c r="N10" s="47">
        <v>560</v>
      </c>
      <c r="O10" s="47"/>
      <c r="P10" s="47"/>
      <c r="Q10" s="47">
        <f>10987+1433</f>
        <v>12420</v>
      </c>
      <c r="R10" s="47">
        <f>20184-657</f>
        <v>19527</v>
      </c>
      <c r="S10" s="89"/>
    </row>
    <row r="11" spans="1:19" s="87" customFormat="1" ht="12" x14ac:dyDescent="0.2">
      <c r="A11" s="43">
        <v>3</v>
      </c>
      <c r="B11" s="88" t="s">
        <v>59</v>
      </c>
      <c r="C11" s="47">
        <f t="shared" si="1"/>
        <v>49909</v>
      </c>
      <c r="D11" s="47"/>
      <c r="E11" s="47">
        <f t="shared" si="2"/>
        <v>5181</v>
      </c>
      <c r="F11" s="47">
        <v>4794</v>
      </c>
      <c r="G11" s="47">
        <v>387</v>
      </c>
      <c r="H11" s="47">
        <v>1198</v>
      </c>
      <c r="I11" s="47">
        <v>1665</v>
      </c>
      <c r="J11" s="47">
        <v>1565</v>
      </c>
      <c r="K11" s="47">
        <v>20248</v>
      </c>
      <c r="L11" s="47">
        <f t="shared" si="0"/>
        <v>0</v>
      </c>
      <c r="M11" s="47"/>
      <c r="N11" s="47"/>
      <c r="O11" s="47"/>
      <c r="P11" s="47"/>
      <c r="Q11" s="47">
        <f>6978+891</f>
        <v>7869</v>
      </c>
      <c r="R11" s="47">
        <f>12570-387</f>
        <v>12183</v>
      </c>
      <c r="S11" s="89"/>
    </row>
    <row r="12" spans="1:19" s="89" customFormat="1" ht="12" x14ac:dyDescent="0.2">
      <c r="A12" s="46">
        <v>4</v>
      </c>
      <c r="B12" s="88" t="s">
        <v>60</v>
      </c>
      <c r="C12" s="47">
        <f t="shared" si="1"/>
        <v>31157</v>
      </c>
      <c r="D12" s="47"/>
      <c r="E12" s="47">
        <f t="shared" si="2"/>
        <v>3224</v>
      </c>
      <c r="F12" s="47">
        <v>2990</v>
      </c>
      <c r="G12" s="47">
        <v>234</v>
      </c>
      <c r="H12" s="47">
        <v>897</v>
      </c>
      <c r="I12" s="47">
        <v>405</v>
      </c>
      <c r="J12" s="47">
        <v>1140</v>
      </c>
      <c r="K12" s="47">
        <v>11408</v>
      </c>
      <c r="L12" s="47">
        <f t="shared" si="0"/>
        <v>0</v>
      </c>
      <c r="M12" s="47"/>
      <c r="N12" s="47"/>
      <c r="O12" s="47"/>
      <c r="P12" s="47"/>
      <c r="Q12" s="47">
        <f>2916+550</f>
        <v>3466</v>
      </c>
      <c r="R12" s="47">
        <f>10851-234</f>
        <v>10617</v>
      </c>
    </row>
    <row r="13" spans="1:19" s="89" customFormat="1" ht="12" x14ac:dyDescent="0.2">
      <c r="A13" s="46">
        <v>5</v>
      </c>
      <c r="B13" s="88" t="s">
        <v>61</v>
      </c>
      <c r="C13" s="47">
        <f t="shared" si="1"/>
        <v>59839</v>
      </c>
      <c r="D13" s="47"/>
      <c r="E13" s="47">
        <f t="shared" si="2"/>
        <v>5898</v>
      </c>
      <c r="F13" s="47">
        <v>5400</v>
      </c>
      <c r="G13" s="47">
        <v>498</v>
      </c>
      <c r="H13" s="47">
        <v>1985</v>
      </c>
      <c r="I13" s="47">
        <v>178</v>
      </c>
      <c r="J13" s="47">
        <v>2158</v>
      </c>
      <c r="K13" s="47">
        <v>22995</v>
      </c>
      <c r="L13" s="47">
        <f t="shared" si="0"/>
        <v>1464</v>
      </c>
      <c r="M13" s="47">
        <v>1000</v>
      </c>
      <c r="N13" s="47">
        <v>464</v>
      </c>
      <c r="O13" s="47"/>
      <c r="P13" s="47"/>
      <c r="Q13" s="47">
        <f>6649+1040</f>
        <v>7689</v>
      </c>
      <c r="R13" s="47">
        <f>17970-498</f>
        <v>17472</v>
      </c>
    </row>
    <row r="14" spans="1:19" s="89" customFormat="1" ht="12" x14ac:dyDescent="0.2">
      <c r="A14" s="46">
        <v>6</v>
      </c>
      <c r="B14" s="88" t="s">
        <v>62</v>
      </c>
      <c r="C14" s="47">
        <f t="shared" si="1"/>
        <v>90453</v>
      </c>
      <c r="D14" s="47"/>
      <c r="E14" s="47">
        <f t="shared" si="2"/>
        <v>9307</v>
      </c>
      <c r="F14" s="47">
        <f>8270+248</f>
        <v>8518</v>
      </c>
      <c r="G14" s="47">
        <f>719+70</f>
        <v>789</v>
      </c>
      <c r="H14" s="47">
        <v>2424</v>
      </c>
      <c r="I14" s="47">
        <v>1745</v>
      </c>
      <c r="J14" s="47">
        <v>3286</v>
      </c>
      <c r="K14" s="47">
        <v>35341</v>
      </c>
      <c r="L14" s="47"/>
      <c r="M14" s="47"/>
      <c r="N14" s="47"/>
      <c r="O14" s="47"/>
      <c r="P14" s="47"/>
      <c r="Q14" s="47">
        <f>9239+1593</f>
        <v>10832</v>
      </c>
      <c r="R14" s="47">
        <f>28237-719</f>
        <v>27518</v>
      </c>
    </row>
    <row r="15" spans="1:19" s="89" customFormat="1" ht="12" x14ac:dyDescent="0.2">
      <c r="A15" s="46">
        <v>7</v>
      </c>
      <c r="B15" s="88" t="s">
        <v>252</v>
      </c>
      <c r="C15" s="47">
        <f t="shared" si="1"/>
        <v>400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>
        <v>400</v>
      </c>
      <c r="Q15" s="47"/>
      <c r="R15" s="47"/>
    </row>
    <row r="16" spans="1:19" s="89" customFormat="1" ht="12" x14ac:dyDescent="0.2">
      <c r="A16" s="46">
        <v>8</v>
      </c>
      <c r="B16" s="88" t="s">
        <v>253</v>
      </c>
      <c r="C16" s="47">
        <f t="shared" si="1"/>
        <v>200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>
        <v>200</v>
      </c>
      <c r="Q16" s="47"/>
      <c r="R16" s="47"/>
    </row>
    <row r="17" spans="1:19" s="89" customFormat="1" ht="12" x14ac:dyDescent="0.2">
      <c r="A17" s="46">
        <v>9</v>
      </c>
      <c r="B17" s="88" t="s">
        <v>254</v>
      </c>
      <c r="C17" s="47">
        <f t="shared" si="1"/>
        <v>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>
        <f>200-100-100</f>
        <v>0</v>
      </c>
      <c r="Q17" s="47"/>
      <c r="R17" s="47"/>
    </row>
    <row r="18" spans="1:19" s="89" customFormat="1" ht="12" x14ac:dyDescent="0.2">
      <c r="A18" s="46">
        <v>10</v>
      </c>
      <c r="B18" s="88" t="s">
        <v>255</v>
      </c>
      <c r="C18" s="47">
        <f t="shared" si="1"/>
        <v>200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>
        <v>200</v>
      </c>
      <c r="Q18" s="47"/>
      <c r="R18" s="47"/>
    </row>
    <row r="19" spans="1:19" s="89" customFormat="1" ht="12" x14ac:dyDescent="0.2">
      <c r="A19" s="46">
        <v>11</v>
      </c>
      <c r="B19" s="88" t="s">
        <v>256</v>
      </c>
      <c r="C19" s="47">
        <f t="shared" si="1"/>
        <v>200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>
        <v>200</v>
      </c>
      <c r="Q19" s="47"/>
      <c r="R19" s="47"/>
    </row>
    <row r="20" spans="1:19" s="89" customFormat="1" ht="12" x14ac:dyDescent="0.2">
      <c r="A20" s="46">
        <v>12</v>
      </c>
      <c r="B20" s="88" t="s">
        <v>63</v>
      </c>
      <c r="C20" s="47">
        <f t="shared" si="1"/>
        <v>234795</v>
      </c>
      <c r="D20" s="47">
        <v>25303</v>
      </c>
      <c r="E20" s="47">
        <f t="shared" si="2"/>
        <v>20765</v>
      </c>
      <c r="F20" s="47">
        <v>19059</v>
      </c>
      <c r="G20" s="47">
        <v>1706</v>
      </c>
      <c r="H20" s="47">
        <f>11585-6821-735</f>
        <v>4029</v>
      </c>
      <c r="I20" s="47">
        <v>6993</v>
      </c>
      <c r="J20" s="47">
        <v>7518</v>
      </c>
      <c r="K20" s="47">
        <v>92629</v>
      </c>
      <c r="L20" s="47">
        <v>1464</v>
      </c>
      <c r="M20" s="47">
        <v>950</v>
      </c>
      <c r="N20" s="47">
        <v>514</v>
      </c>
      <c r="O20" s="47"/>
      <c r="P20" s="47"/>
      <c r="Q20" s="47">
        <f>25699+3687+4629</f>
        <v>34015</v>
      </c>
      <c r="R20" s="47">
        <f>41593-1706+2192</f>
        <v>42079</v>
      </c>
    </row>
    <row r="21" spans="1:19" s="89" customFormat="1" ht="12" x14ac:dyDescent="0.2">
      <c r="A21" s="46">
        <v>13</v>
      </c>
      <c r="B21" s="88" t="s">
        <v>64</v>
      </c>
      <c r="C21" s="47">
        <f t="shared" si="1"/>
        <v>150732</v>
      </c>
      <c r="D21" s="47"/>
      <c r="E21" s="47">
        <f t="shared" si="2"/>
        <v>14892</v>
      </c>
      <c r="F21" s="47">
        <v>13577</v>
      </c>
      <c r="G21" s="47">
        <f>1235+80</f>
        <v>1315</v>
      </c>
      <c r="H21" s="47">
        <f>8146+2400</f>
        <v>10546</v>
      </c>
      <c r="I21" s="47">
        <v>2695</v>
      </c>
      <c r="J21" s="47">
        <v>5231</v>
      </c>
      <c r="K21" s="47">
        <v>67956</v>
      </c>
      <c r="L21" s="47">
        <v>1464</v>
      </c>
      <c r="M21" s="47">
        <v>878</v>
      </c>
      <c r="N21" s="47">
        <v>586</v>
      </c>
      <c r="O21" s="47"/>
      <c r="P21" s="47"/>
      <c r="Q21" s="47">
        <f>19503+2000</f>
        <v>21503</v>
      </c>
      <c r="R21" s="47">
        <f>27680-1235</f>
        <v>26445</v>
      </c>
    </row>
    <row r="22" spans="1:19" s="89" customFormat="1" ht="12" x14ac:dyDescent="0.2">
      <c r="A22" s="46">
        <v>14</v>
      </c>
      <c r="B22" s="88" t="s">
        <v>65</v>
      </c>
      <c r="C22" s="47">
        <f t="shared" si="1"/>
        <v>84824</v>
      </c>
      <c r="D22" s="47"/>
      <c r="E22" s="47">
        <f t="shared" si="2"/>
        <v>7993</v>
      </c>
      <c r="F22" s="47">
        <v>7365</v>
      </c>
      <c r="G22" s="47">
        <v>628</v>
      </c>
      <c r="H22" s="47">
        <v>2300</v>
      </c>
      <c r="I22" s="47">
        <v>2896</v>
      </c>
      <c r="J22" s="47">
        <v>2823</v>
      </c>
      <c r="K22" s="47">
        <f>48646-1140</f>
        <v>47506</v>
      </c>
      <c r="L22" s="47"/>
      <c r="M22" s="47"/>
      <c r="N22" s="47"/>
      <c r="O22" s="47"/>
      <c r="P22" s="47"/>
      <c r="Q22" s="47">
        <f>9243+1516</f>
        <v>10759</v>
      </c>
      <c r="R22" s="47">
        <f>11175-628</f>
        <v>10547</v>
      </c>
    </row>
    <row r="23" spans="1:19" s="89" customFormat="1" ht="12" x14ac:dyDescent="0.2">
      <c r="A23" s="46">
        <v>15</v>
      </c>
      <c r="B23" s="88" t="s">
        <v>66</v>
      </c>
      <c r="C23" s="47">
        <f t="shared" si="1"/>
        <v>37237</v>
      </c>
      <c r="D23" s="47"/>
      <c r="E23" s="47">
        <f t="shared" si="2"/>
        <v>3212</v>
      </c>
      <c r="F23" s="47">
        <v>2983</v>
      </c>
      <c r="G23" s="47">
        <v>229</v>
      </c>
      <c r="H23" s="47">
        <v>888</v>
      </c>
      <c r="I23" s="47">
        <v>180</v>
      </c>
      <c r="J23" s="47">
        <v>1062</v>
      </c>
      <c r="K23" s="47">
        <v>21113</v>
      </c>
      <c r="L23" s="47"/>
      <c r="M23" s="47"/>
      <c r="N23" s="47"/>
      <c r="O23" s="47"/>
      <c r="P23" s="47"/>
      <c r="Q23" s="47">
        <f>6503+654</f>
        <v>7157</v>
      </c>
      <c r="R23" s="47">
        <f>3854-229</f>
        <v>3625</v>
      </c>
    </row>
    <row r="24" spans="1:19" s="89" customFormat="1" ht="12" x14ac:dyDescent="0.2">
      <c r="A24" s="46">
        <v>16</v>
      </c>
      <c r="B24" s="88" t="s">
        <v>257</v>
      </c>
      <c r="C24" s="47">
        <f t="shared" si="1"/>
        <v>400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>
        <v>400</v>
      </c>
      <c r="Q24" s="47"/>
      <c r="R24" s="47"/>
    </row>
    <row r="25" spans="1:19" s="89" customFormat="1" ht="12" x14ac:dyDescent="0.2">
      <c r="A25" s="46">
        <v>17</v>
      </c>
      <c r="B25" s="88" t="s">
        <v>67</v>
      </c>
      <c r="C25" s="47">
        <f t="shared" si="1"/>
        <v>35781</v>
      </c>
      <c r="D25" s="47"/>
      <c r="E25" s="47">
        <f t="shared" si="2"/>
        <v>3011</v>
      </c>
      <c r="F25" s="47">
        <v>2734</v>
      </c>
      <c r="G25" s="47">
        <v>277</v>
      </c>
      <c r="H25" s="47">
        <v>748</v>
      </c>
      <c r="I25" s="47">
        <v>420</v>
      </c>
      <c r="J25" s="47">
        <v>886</v>
      </c>
      <c r="K25" s="47">
        <f>12420+204</f>
        <v>12624</v>
      </c>
      <c r="L25" s="47"/>
      <c r="M25" s="47"/>
      <c r="N25" s="47"/>
      <c r="O25" s="47"/>
      <c r="P25" s="47"/>
      <c r="Q25" s="47">
        <f>9440</f>
        <v>9440</v>
      </c>
      <c r="R25" s="47">
        <f>8929-277</f>
        <v>8652</v>
      </c>
    </row>
    <row r="26" spans="1:19" s="89" customFormat="1" ht="12" x14ac:dyDescent="0.2">
      <c r="A26" s="46">
        <v>18</v>
      </c>
      <c r="B26" s="88" t="s">
        <v>68</v>
      </c>
      <c r="C26" s="47">
        <f t="shared" si="1"/>
        <v>128441</v>
      </c>
      <c r="D26" s="47">
        <v>17535</v>
      </c>
      <c r="E26" s="47">
        <f t="shared" si="2"/>
        <v>9876</v>
      </c>
      <c r="F26" s="47">
        <v>9198</v>
      </c>
      <c r="G26" s="47">
        <f>938-260</f>
        <v>678</v>
      </c>
      <c r="H26" s="47">
        <f>2759-705</f>
        <v>2054</v>
      </c>
      <c r="I26" s="47">
        <v>4470</v>
      </c>
      <c r="J26" s="47">
        <v>4336</v>
      </c>
      <c r="K26" s="47">
        <v>60358</v>
      </c>
      <c r="L26" s="47">
        <f t="shared" si="0"/>
        <v>1464</v>
      </c>
      <c r="M26" s="47">
        <v>884</v>
      </c>
      <c r="N26" s="47">
        <v>580</v>
      </c>
      <c r="O26" s="47"/>
      <c r="P26" s="47"/>
      <c r="Q26" s="47">
        <f>8807+2061</f>
        <v>10868</v>
      </c>
      <c r="R26" s="47">
        <f>18418-938</f>
        <v>17480</v>
      </c>
    </row>
    <row r="27" spans="1:19" s="89" customFormat="1" ht="24" x14ac:dyDescent="0.2">
      <c r="A27" s="46">
        <v>19</v>
      </c>
      <c r="B27" s="48" t="s">
        <v>258</v>
      </c>
      <c r="C27" s="47">
        <f t="shared" si="1"/>
        <v>6000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>
        <v>6000</v>
      </c>
      <c r="Q27" s="47"/>
      <c r="R27" s="47"/>
    </row>
    <row r="28" spans="1:19" s="89" customFormat="1" ht="12" x14ac:dyDescent="0.2">
      <c r="A28" s="46">
        <v>20</v>
      </c>
      <c r="B28" s="88" t="s">
        <v>69</v>
      </c>
      <c r="C28" s="47">
        <f t="shared" si="1"/>
        <v>134508</v>
      </c>
      <c r="D28" s="47">
        <v>15378</v>
      </c>
      <c r="E28" s="47">
        <f t="shared" si="2"/>
        <v>10950</v>
      </c>
      <c r="F28" s="47">
        <v>9896</v>
      </c>
      <c r="G28" s="47">
        <v>1054</v>
      </c>
      <c r="H28" s="47">
        <v>2969</v>
      </c>
      <c r="I28" s="47">
        <v>1921</v>
      </c>
      <c r="J28" s="47">
        <v>4340</v>
      </c>
      <c r="K28" s="47">
        <v>56503</v>
      </c>
      <c r="L28" s="47">
        <f t="shared" si="0"/>
        <v>1464</v>
      </c>
      <c r="M28" s="47">
        <v>893</v>
      </c>
      <c r="N28" s="47">
        <v>571</v>
      </c>
      <c r="O28" s="47"/>
      <c r="P28" s="47"/>
      <c r="Q28" s="47">
        <f>8123+2179</f>
        <v>10302</v>
      </c>
      <c r="R28" s="47">
        <f>31735-1054</f>
        <v>30681</v>
      </c>
    </row>
    <row r="29" spans="1:19" s="89" customFormat="1" ht="12" x14ac:dyDescent="0.2">
      <c r="A29" s="46">
        <v>21</v>
      </c>
      <c r="B29" s="88" t="s">
        <v>259</v>
      </c>
      <c r="C29" s="47">
        <f t="shared" si="1"/>
        <v>4500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>
        <v>4500</v>
      </c>
      <c r="Q29" s="47"/>
      <c r="R29" s="47"/>
    </row>
    <row r="30" spans="1:19" s="89" customFormat="1" ht="12" x14ac:dyDescent="0.2">
      <c r="A30" s="46">
        <v>22</v>
      </c>
      <c r="B30" s="88" t="s">
        <v>70</v>
      </c>
      <c r="C30" s="47">
        <f t="shared" si="1"/>
        <v>307234</v>
      </c>
      <c r="D30" s="47">
        <v>28044</v>
      </c>
      <c r="E30" s="47">
        <f t="shared" si="2"/>
        <v>26582</v>
      </c>
      <c r="F30" s="47">
        <v>24271</v>
      </c>
      <c r="G30" s="47">
        <v>2311</v>
      </c>
      <c r="H30" s="47">
        <v>7284</v>
      </c>
      <c r="I30" s="47">
        <v>1209</v>
      </c>
      <c r="J30" s="47">
        <v>12329</v>
      </c>
      <c r="K30" s="47">
        <v>118643</v>
      </c>
      <c r="L30" s="47">
        <f t="shared" si="0"/>
        <v>1464</v>
      </c>
      <c r="M30" s="47">
        <v>1024</v>
      </c>
      <c r="N30" s="47">
        <v>440</v>
      </c>
      <c r="O30" s="47"/>
      <c r="P30" s="47"/>
      <c r="Q30" s="47">
        <f>40919+4893</f>
        <v>45812</v>
      </c>
      <c r="R30" s="47">
        <f>68178-2311</f>
        <v>65867</v>
      </c>
    </row>
    <row r="31" spans="1:19" s="92" customFormat="1" ht="33.75" customHeight="1" x14ac:dyDescent="0.2">
      <c r="A31" s="46">
        <v>23</v>
      </c>
      <c r="B31" s="90" t="s">
        <v>71</v>
      </c>
      <c r="C31" s="47">
        <f t="shared" si="1"/>
        <v>35650</v>
      </c>
      <c r="D31" s="91"/>
      <c r="E31" s="47">
        <f t="shared" si="2"/>
        <v>3655</v>
      </c>
      <c r="F31" s="91">
        <v>3377</v>
      </c>
      <c r="G31" s="47">
        <v>278</v>
      </c>
      <c r="H31" s="91">
        <v>949</v>
      </c>
      <c r="I31" s="91">
        <v>189</v>
      </c>
      <c r="J31" s="91">
        <v>1250</v>
      </c>
      <c r="K31" s="91">
        <v>12873</v>
      </c>
      <c r="L31" s="91"/>
      <c r="M31" s="91"/>
      <c r="N31" s="91"/>
      <c r="O31" s="91"/>
      <c r="P31" s="91"/>
      <c r="Q31" s="91">
        <f>5548+628</f>
        <v>6176</v>
      </c>
      <c r="R31" s="91">
        <f>10836-278</f>
        <v>10558</v>
      </c>
      <c r="S31" s="89"/>
    </row>
    <row r="32" spans="1:19" s="89" customFormat="1" ht="12" x14ac:dyDescent="0.2">
      <c r="A32" s="46">
        <v>24</v>
      </c>
      <c r="B32" s="88" t="s">
        <v>72</v>
      </c>
      <c r="C32" s="47">
        <f t="shared" si="1"/>
        <v>97071</v>
      </c>
      <c r="D32" s="47"/>
      <c r="E32" s="47">
        <f t="shared" si="2"/>
        <v>9516</v>
      </c>
      <c r="F32" s="47">
        <v>8670</v>
      </c>
      <c r="G32" s="47">
        <f>740+106</f>
        <v>846</v>
      </c>
      <c r="H32" s="47">
        <v>2601</v>
      </c>
      <c r="I32" s="47">
        <v>1843</v>
      </c>
      <c r="J32" s="47">
        <v>3200</v>
      </c>
      <c r="K32" s="47">
        <f>40700+2300</f>
        <v>43000</v>
      </c>
      <c r="L32" s="47">
        <v>1464</v>
      </c>
      <c r="M32" s="47">
        <v>878</v>
      </c>
      <c r="N32" s="47">
        <v>586</v>
      </c>
      <c r="O32" s="47"/>
      <c r="P32" s="47"/>
      <c r="Q32" s="47">
        <f>14907+1649</f>
        <v>16556</v>
      </c>
      <c r="R32" s="47">
        <f>19631-740</f>
        <v>18891</v>
      </c>
    </row>
    <row r="33" spans="1:18" s="89" customFormat="1" ht="12" x14ac:dyDescent="0.2">
      <c r="A33" s="46">
        <v>25</v>
      </c>
      <c r="B33" s="88" t="s">
        <v>73</v>
      </c>
      <c r="C33" s="47">
        <f t="shared" si="1"/>
        <v>43241</v>
      </c>
      <c r="D33" s="47"/>
      <c r="E33" s="47">
        <f t="shared" si="2"/>
        <v>4369</v>
      </c>
      <c r="F33" s="47">
        <v>4030</v>
      </c>
      <c r="G33" s="47">
        <v>339</v>
      </c>
      <c r="H33" s="47">
        <v>1088</v>
      </c>
      <c r="I33" s="47">
        <v>737</v>
      </c>
      <c r="J33" s="47">
        <v>1508</v>
      </c>
      <c r="K33" s="47">
        <v>20528</v>
      </c>
      <c r="L33" s="47"/>
      <c r="M33" s="47"/>
      <c r="N33" s="47"/>
      <c r="O33" s="47"/>
      <c r="P33" s="47"/>
      <c r="Q33" s="47">
        <f>7361+770</f>
        <v>8131</v>
      </c>
      <c r="R33" s="47">
        <f>7219-339</f>
        <v>6880</v>
      </c>
    </row>
    <row r="34" spans="1:18" s="89" customFormat="1" ht="12" x14ac:dyDescent="0.2">
      <c r="A34" s="46">
        <v>26</v>
      </c>
      <c r="B34" s="88" t="s">
        <v>74</v>
      </c>
      <c r="C34" s="47">
        <f t="shared" si="1"/>
        <v>43089</v>
      </c>
      <c r="D34" s="47"/>
      <c r="E34" s="47">
        <f t="shared" si="2"/>
        <v>4357</v>
      </c>
      <c r="F34" s="47">
        <v>4012</v>
      </c>
      <c r="G34" s="47">
        <v>345</v>
      </c>
      <c r="H34" s="47">
        <v>988</v>
      </c>
      <c r="I34" s="47">
        <v>1074</v>
      </c>
      <c r="J34" s="47">
        <v>1517</v>
      </c>
      <c r="K34" s="47">
        <v>17220</v>
      </c>
      <c r="L34" s="47">
        <f t="shared" si="0"/>
        <v>1464</v>
      </c>
      <c r="M34" s="47">
        <v>976</v>
      </c>
      <c r="N34" s="47">
        <v>488</v>
      </c>
      <c r="O34" s="47"/>
      <c r="P34" s="47"/>
      <c r="Q34" s="47">
        <f>5832+745</f>
        <v>6577</v>
      </c>
      <c r="R34" s="47">
        <f>10237-345</f>
        <v>9892</v>
      </c>
    </row>
    <row r="35" spans="1:18" s="89" customFormat="1" ht="12" x14ac:dyDescent="0.2">
      <c r="A35" s="46">
        <v>27</v>
      </c>
      <c r="B35" s="88" t="s">
        <v>75</v>
      </c>
      <c r="C35" s="47">
        <f t="shared" si="1"/>
        <v>47707</v>
      </c>
      <c r="D35" s="47"/>
      <c r="E35" s="47">
        <f t="shared" si="2"/>
        <v>4985</v>
      </c>
      <c r="F35" s="47">
        <v>4651</v>
      </c>
      <c r="G35" s="47">
        <f>424-90</f>
        <v>334</v>
      </c>
      <c r="H35" s="47">
        <v>1412</v>
      </c>
      <c r="I35" s="47">
        <v>755</v>
      </c>
      <c r="J35" s="47">
        <v>1806</v>
      </c>
      <c r="K35" s="47">
        <v>16483</v>
      </c>
      <c r="L35" s="47"/>
      <c r="M35" s="47"/>
      <c r="N35" s="47"/>
      <c r="O35" s="47"/>
      <c r="P35" s="47"/>
      <c r="Q35" s="47">
        <f>6616+854</f>
        <v>7470</v>
      </c>
      <c r="R35" s="47">
        <f>15220-424</f>
        <v>14796</v>
      </c>
    </row>
    <row r="36" spans="1:18" s="89" customFormat="1" ht="12" x14ac:dyDescent="0.2">
      <c r="A36" s="46">
        <v>28</v>
      </c>
      <c r="B36" s="88" t="s">
        <v>76</v>
      </c>
      <c r="C36" s="47">
        <f t="shared" si="1"/>
        <v>49229</v>
      </c>
      <c r="D36" s="47"/>
      <c r="E36" s="47">
        <f t="shared" si="2"/>
        <v>5359</v>
      </c>
      <c r="F36" s="47">
        <v>5010</v>
      </c>
      <c r="G36" s="47">
        <f>396-47</f>
        <v>349</v>
      </c>
      <c r="H36" s="47">
        <v>1380</v>
      </c>
      <c r="I36" s="47">
        <v>546</v>
      </c>
      <c r="J36" s="47">
        <v>1753</v>
      </c>
      <c r="K36" s="47">
        <v>21425</v>
      </c>
      <c r="L36" s="47"/>
      <c r="M36" s="47"/>
      <c r="N36" s="47"/>
      <c r="O36" s="47"/>
      <c r="P36" s="47"/>
      <c r="Q36" s="47">
        <f>7750+871</f>
        <v>8621</v>
      </c>
      <c r="R36" s="47">
        <f>10541-396</f>
        <v>10145</v>
      </c>
    </row>
    <row r="37" spans="1:18" s="89" customFormat="1" ht="12" x14ac:dyDescent="0.2">
      <c r="A37" s="46">
        <v>29</v>
      </c>
      <c r="B37" s="88" t="s">
        <v>77</v>
      </c>
      <c r="C37" s="47">
        <f t="shared" si="1"/>
        <v>54827</v>
      </c>
      <c r="D37" s="47"/>
      <c r="E37" s="47">
        <f t="shared" si="2"/>
        <v>4492</v>
      </c>
      <c r="F37" s="47">
        <v>4086</v>
      </c>
      <c r="G37" s="47">
        <v>406</v>
      </c>
      <c r="H37" s="47">
        <v>1273</v>
      </c>
      <c r="I37" s="47">
        <v>1421</v>
      </c>
      <c r="J37" s="47">
        <v>1500</v>
      </c>
      <c r="K37" s="47">
        <v>23885</v>
      </c>
      <c r="L37" s="47"/>
      <c r="M37" s="47"/>
      <c r="N37" s="47"/>
      <c r="O37" s="47"/>
      <c r="P37" s="47"/>
      <c r="Q37" s="47">
        <f>6550+969</f>
        <v>7519</v>
      </c>
      <c r="R37" s="47">
        <f>15143-406</f>
        <v>14737</v>
      </c>
    </row>
    <row r="38" spans="1:18" s="89" customFormat="1" ht="12" x14ac:dyDescent="0.2">
      <c r="A38" s="46">
        <v>30</v>
      </c>
      <c r="B38" s="88" t="s">
        <v>78</v>
      </c>
      <c r="C38" s="47">
        <f t="shared" si="1"/>
        <v>52391</v>
      </c>
      <c r="D38" s="47"/>
      <c r="E38" s="47">
        <f t="shared" si="2"/>
        <v>5221</v>
      </c>
      <c r="F38" s="47">
        <v>4859</v>
      </c>
      <c r="G38" s="47">
        <f>421-59</f>
        <v>362</v>
      </c>
      <c r="H38" s="47">
        <v>1332</v>
      </c>
      <c r="I38" s="47">
        <v>493</v>
      </c>
      <c r="J38" s="47">
        <v>1738</v>
      </c>
      <c r="K38" s="47">
        <v>19780</v>
      </c>
      <c r="L38" s="47">
        <v>1464</v>
      </c>
      <c r="M38" s="47">
        <v>878</v>
      </c>
      <c r="N38" s="47">
        <v>586</v>
      </c>
      <c r="O38" s="47"/>
      <c r="P38" s="47"/>
      <c r="Q38" s="47">
        <f>8880+909</f>
        <v>9789</v>
      </c>
      <c r="R38" s="47">
        <f>12995-421</f>
        <v>12574</v>
      </c>
    </row>
    <row r="39" spans="1:18" s="89" customFormat="1" ht="12" x14ac:dyDescent="0.2">
      <c r="A39" s="46">
        <v>31</v>
      </c>
      <c r="B39" s="88" t="s">
        <v>79</v>
      </c>
      <c r="C39" s="47">
        <f t="shared" si="1"/>
        <v>55757</v>
      </c>
      <c r="D39" s="47"/>
      <c r="E39" s="47">
        <f t="shared" si="2"/>
        <v>5783</v>
      </c>
      <c r="F39" s="47">
        <v>5250</v>
      </c>
      <c r="G39" s="47">
        <f>475+58</f>
        <v>533</v>
      </c>
      <c r="H39" s="47">
        <v>3675</v>
      </c>
      <c r="I39" s="47">
        <v>536</v>
      </c>
      <c r="J39" s="47">
        <v>2340</v>
      </c>
      <c r="K39" s="47">
        <f>23596+500</f>
        <v>24096</v>
      </c>
      <c r="L39" s="47"/>
      <c r="M39" s="47"/>
      <c r="N39" s="47"/>
      <c r="O39" s="47"/>
      <c r="P39" s="47"/>
      <c r="Q39" s="47">
        <f>5557+973</f>
        <v>6530</v>
      </c>
      <c r="R39" s="47">
        <f>13272-475</f>
        <v>12797</v>
      </c>
    </row>
    <row r="40" spans="1:18" s="89" customFormat="1" ht="12" x14ac:dyDescent="0.2">
      <c r="A40" s="46">
        <v>32</v>
      </c>
      <c r="B40" s="88" t="s">
        <v>80</v>
      </c>
      <c r="C40" s="47">
        <f t="shared" si="1"/>
        <v>51121</v>
      </c>
      <c r="D40" s="47"/>
      <c r="E40" s="47">
        <f t="shared" si="2"/>
        <v>4873</v>
      </c>
      <c r="F40" s="47">
        <f>4400+100</f>
        <v>4500</v>
      </c>
      <c r="G40" s="47">
        <v>373</v>
      </c>
      <c r="H40" s="47">
        <v>1255</v>
      </c>
      <c r="I40" s="47">
        <v>707</v>
      </c>
      <c r="J40" s="47">
        <v>1500</v>
      </c>
      <c r="K40" s="47">
        <v>23203</v>
      </c>
      <c r="L40" s="47"/>
      <c r="M40" s="47"/>
      <c r="N40" s="47"/>
      <c r="O40" s="47"/>
      <c r="P40" s="47"/>
      <c r="Q40" s="47">
        <f>4477+903</f>
        <v>5380</v>
      </c>
      <c r="R40" s="47">
        <f>14576-373</f>
        <v>14203</v>
      </c>
    </row>
    <row r="41" spans="1:18" s="89" customFormat="1" ht="12" x14ac:dyDescent="0.2">
      <c r="A41" s="46">
        <v>33</v>
      </c>
      <c r="B41" s="88" t="s">
        <v>260</v>
      </c>
      <c r="C41" s="47">
        <f t="shared" si="1"/>
        <v>0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s="89" customFormat="1" ht="12" x14ac:dyDescent="0.2">
      <c r="A42" s="46">
        <v>34</v>
      </c>
      <c r="B42" s="88" t="s">
        <v>261</v>
      </c>
      <c r="C42" s="47">
        <f t="shared" si="1"/>
        <v>0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s="89" customFormat="1" ht="12" x14ac:dyDescent="0.2">
      <c r="A43" s="46">
        <v>35</v>
      </c>
      <c r="B43" s="88" t="s">
        <v>262</v>
      </c>
      <c r="C43" s="47">
        <f t="shared" si="1"/>
        <v>0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s="89" customFormat="1" ht="12" x14ac:dyDescent="0.2">
      <c r="A44" s="46">
        <v>36</v>
      </c>
      <c r="B44" s="88" t="s">
        <v>263</v>
      </c>
      <c r="C44" s="47">
        <f t="shared" si="1"/>
        <v>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s="89" customFormat="1" ht="12" x14ac:dyDescent="0.2">
      <c r="A45" s="46">
        <v>37</v>
      </c>
      <c r="B45" s="88" t="s">
        <v>264</v>
      </c>
      <c r="C45" s="47">
        <f t="shared" si="1"/>
        <v>0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>
        <f>1160-1160</f>
        <v>0</v>
      </c>
      <c r="Q45" s="47"/>
      <c r="R45" s="47"/>
    </row>
    <row r="46" spans="1:18" s="89" customFormat="1" ht="12" x14ac:dyDescent="0.2">
      <c r="A46" s="46">
        <v>38</v>
      </c>
      <c r="B46" s="88" t="s">
        <v>265</v>
      </c>
      <c r="C46" s="47">
        <f t="shared" si="1"/>
        <v>0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>
        <f>200-200</f>
        <v>0</v>
      </c>
      <c r="Q46" s="47"/>
      <c r="R46" s="47"/>
    </row>
    <row r="47" spans="1:18" s="89" customFormat="1" ht="12" x14ac:dyDescent="0.2">
      <c r="A47" s="46">
        <v>39</v>
      </c>
      <c r="B47" s="88" t="s">
        <v>266</v>
      </c>
      <c r="C47" s="47">
        <f t="shared" si="1"/>
        <v>0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s="89" customFormat="1" ht="12" x14ac:dyDescent="0.2">
      <c r="A48" s="46">
        <v>40</v>
      </c>
      <c r="B48" s="88" t="s">
        <v>267</v>
      </c>
      <c r="C48" s="47">
        <f t="shared" si="1"/>
        <v>0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s="89" customFormat="1" ht="12" x14ac:dyDescent="0.2">
      <c r="A49" s="46">
        <v>41</v>
      </c>
      <c r="B49" s="88" t="s">
        <v>8</v>
      </c>
      <c r="C49" s="47">
        <f t="shared" si="1"/>
        <v>72066</v>
      </c>
      <c r="D49" s="47">
        <v>11711</v>
      </c>
      <c r="E49" s="47">
        <f t="shared" si="2"/>
        <v>5207</v>
      </c>
      <c r="F49" s="47">
        <v>4857</v>
      </c>
      <c r="G49" s="47">
        <f>463-113</f>
        <v>350</v>
      </c>
      <c r="H49" s="47">
        <v>1370</v>
      </c>
      <c r="I49" s="47">
        <v>328</v>
      </c>
      <c r="J49" s="47">
        <v>2051</v>
      </c>
      <c r="K49" s="47">
        <v>30213</v>
      </c>
      <c r="L49" s="47">
        <f t="shared" si="0"/>
        <v>1464</v>
      </c>
      <c r="M49" s="47">
        <v>1200</v>
      </c>
      <c r="N49" s="47">
        <v>264</v>
      </c>
      <c r="O49" s="47"/>
      <c r="P49" s="47"/>
      <c r="Q49" s="47">
        <f>7858+1042</f>
        <v>8900</v>
      </c>
      <c r="R49" s="47">
        <f>11285-463</f>
        <v>10822</v>
      </c>
    </row>
    <row r="50" spans="1:18" s="89" customFormat="1" ht="12" x14ac:dyDescent="0.2">
      <c r="A50" s="46">
        <v>42</v>
      </c>
      <c r="B50" s="88" t="s">
        <v>81</v>
      </c>
      <c r="C50" s="47">
        <f t="shared" si="1"/>
        <v>38997</v>
      </c>
      <c r="D50" s="47"/>
      <c r="E50" s="47">
        <f t="shared" si="2"/>
        <v>3823</v>
      </c>
      <c r="F50" s="47">
        <v>3561</v>
      </c>
      <c r="G50" s="47">
        <f>321-59</f>
        <v>262</v>
      </c>
      <c r="H50" s="47">
        <v>1000</v>
      </c>
      <c r="I50" s="47">
        <v>3187</v>
      </c>
      <c r="J50" s="47">
        <v>1414</v>
      </c>
      <c r="K50" s="47">
        <v>19463</v>
      </c>
      <c r="L50" s="47"/>
      <c r="M50" s="47"/>
      <c r="N50" s="47"/>
      <c r="O50" s="47"/>
      <c r="P50" s="47"/>
      <c r="Q50" s="47">
        <f>2801+690</f>
        <v>3491</v>
      </c>
      <c r="R50" s="47">
        <f>6940-321</f>
        <v>6619</v>
      </c>
    </row>
    <row r="51" spans="1:18" s="89" customFormat="1" ht="12" x14ac:dyDescent="0.2">
      <c r="A51" s="46">
        <v>43</v>
      </c>
      <c r="B51" s="88" t="s">
        <v>82</v>
      </c>
      <c r="C51" s="47">
        <f t="shared" si="1"/>
        <v>46816</v>
      </c>
      <c r="D51" s="47"/>
      <c r="E51" s="47">
        <f t="shared" si="2"/>
        <v>4660</v>
      </c>
      <c r="F51" s="47">
        <v>4276</v>
      </c>
      <c r="G51" s="47">
        <v>384</v>
      </c>
      <c r="H51" s="47">
        <v>958</v>
      </c>
      <c r="I51" s="47">
        <v>432</v>
      </c>
      <c r="J51" s="47">
        <v>1663</v>
      </c>
      <c r="K51" s="47">
        <v>22264</v>
      </c>
      <c r="L51" s="47"/>
      <c r="M51" s="47"/>
      <c r="N51" s="47"/>
      <c r="O51" s="47"/>
      <c r="P51" s="47"/>
      <c r="Q51" s="47">
        <f>4884+827</f>
        <v>5711</v>
      </c>
      <c r="R51" s="47">
        <f>11512-384</f>
        <v>11128</v>
      </c>
    </row>
    <row r="52" spans="1:18" s="89" customFormat="1" ht="12" x14ac:dyDescent="0.2">
      <c r="A52" s="46">
        <v>44</v>
      </c>
      <c r="B52" s="88" t="s">
        <v>83</v>
      </c>
      <c r="C52" s="47">
        <f t="shared" si="1"/>
        <v>36546</v>
      </c>
      <c r="D52" s="47"/>
      <c r="E52" s="47">
        <f t="shared" si="2"/>
        <v>3528</v>
      </c>
      <c r="F52" s="47">
        <v>3291</v>
      </c>
      <c r="G52" s="47">
        <f>291-54</f>
        <v>237</v>
      </c>
      <c r="H52" s="47">
        <v>900</v>
      </c>
      <c r="I52" s="47">
        <v>378</v>
      </c>
      <c r="J52" s="47">
        <v>1000</v>
      </c>
      <c r="K52" s="47">
        <v>17938</v>
      </c>
      <c r="L52" s="47"/>
      <c r="M52" s="47"/>
      <c r="N52" s="47"/>
      <c r="O52" s="47"/>
      <c r="P52" s="47"/>
      <c r="Q52" s="47">
        <f>6809+650</f>
        <v>7459</v>
      </c>
      <c r="R52" s="47">
        <f>5634-291</f>
        <v>5343</v>
      </c>
    </row>
    <row r="53" spans="1:18" s="89" customFormat="1" ht="12" x14ac:dyDescent="0.2">
      <c r="A53" s="46">
        <v>45</v>
      </c>
      <c r="B53" s="88" t="s">
        <v>84</v>
      </c>
      <c r="C53" s="47">
        <f t="shared" si="1"/>
        <v>54389</v>
      </c>
      <c r="D53" s="47"/>
      <c r="E53" s="47">
        <f t="shared" si="2"/>
        <v>5296</v>
      </c>
      <c r="F53" s="47">
        <v>4894</v>
      </c>
      <c r="G53" s="47">
        <v>402</v>
      </c>
      <c r="H53" s="47">
        <v>1224</v>
      </c>
      <c r="I53" s="47">
        <v>1297</v>
      </c>
      <c r="J53" s="47">
        <v>1858</v>
      </c>
      <c r="K53" s="47">
        <v>25448</v>
      </c>
      <c r="L53" s="47"/>
      <c r="M53" s="47"/>
      <c r="N53" s="47"/>
      <c r="O53" s="47"/>
      <c r="P53" s="47"/>
      <c r="Q53" s="47">
        <f>8649+960</f>
        <v>9609</v>
      </c>
      <c r="R53" s="47">
        <f>10059-402</f>
        <v>9657</v>
      </c>
    </row>
    <row r="54" spans="1:18" s="89" customFormat="1" ht="24" x14ac:dyDescent="0.2">
      <c r="A54" s="46">
        <v>46</v>
      </c>
      <c r="B54" s="48" t="s">
        <v>268</v>
      </c>
      <c r="C54" s="47">
        <f t="shared" si="1"/>
        <v>200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>
        <v>200</v>
      </c>
      <c r="Q54" s="47"/>
      <c r="R54" s="47"/>
    </row>
    <row r="55" spans="1:18" s="89" customFormat="1" ht="12" x14ac:dyDescent="0.2">
      <c r="A55" s="46">
        <v>47</v>
      </c>
      <c r="B55" s="88" t="s">
        <v>85</v>
      </c>
      <c r="C55" s="47">
        <f t="shared" si="1"/>
        <v>133131</v>
      </c>
      <c r="D55" s="47">
        <v>16701</v>
      </c>
      <c r="E55" s="47">
        <f t="shared" si="2"/>
        <v>11003</v>
      </c>
      <c r="F55" s="47">
        <v>10200</v>
      </c>
      <c r="G55" s="47">
        <f>928-125</f>
        <v>803</v>
      </c>
      <c r="H55" s="47">
        <v>2550</v>
      </c>
      <c r="I55" s="47">
        <v>2188</v>
      </c>
      <c r="J55" s="47">
        <v>4078</v>
      </c>
      <c r="K55" s="47">
        <v>60726</v>
      </c>
      <c r="L55" s="47">
        <v>1464</v>
      </c>
      <c r="M55" s="47">
        <v>1025</v>
      </c>
      <c r="N55" s="47">
        <v>439</v>
      </c>
      <c r="O55" s="47"/>
      <c r="P55" s="47"/>
      <c r="Q55" s="47">
        <f>10176+2123</f>
        <v>12299</v>
      </c>
      <c r="R55" s="47">
        <f>23050-928</f>
        <v>22122</v>
      </c>
    </row>
    <row r="56" spans="1:18" s="89" customFormat="1" ht="24" x14ac:dyDescent="0.2">
      <c r="A56" s="46">
        <v>48</v>
      </c>
      <c r="B56" s="48" t="s">
        <v>269</v>
      </c>
      <c r="C56" s="47">
        <f t="shared" si="1"/>
        <v>5300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>
        <v>5300</v>
      </c>
      <c r="Q56" s="47"/>
      <c r="R56" s="47"/>
    </row>
    <row r="57" spans="1:18" s="89" customFormat="1" ht="12" x14ac:dyDescent="0.2">
      <c r="A57" s="46">
        <v>49</v>
      </c>
      <c r="B57" s="88" t="s">
        <v>86</v>
      </c>
      <c r="C57" s="47">
        <f t="shared" si="1"/>
        <v>120254</v>
      </c>
      <c r="D57" s="47"/>
      <c r="E57" s="47">
        <f t="shared" si="2"/>
        <v>9866</v>
      </c>
      <c r="F57" s="47">
        <v>9065</v>
      </c>
      <c r="G57" s="47">
        <f>862-61</f>
        <v>801</v>
      </c>
      <c r="H57" s="47">
        <v>2306</v>
      </c>
      <c r="I57" s="47">
        <v>1289</v>
      </c>
      <c r="J57" s="47">
        <v>3185</v>
      </c>
      <c r="K57" s="47">
        <v>62945</v>
      </c>
      <c r="L57" s="47"/>
      <c r="M57" s="47"/>
      <c r="N57" s="47"/>
      <c r="O57" s="47"/>
      <c r="P57" s="47"/>
      <c r="Q57" s="47">
        <f>14282+2120</f>
        <v>16402</v>
      </c>
      <c r="R57" s="47">
        <f>25123-862</f>
        <v>24261</v>
      </c>
    </row>
    <row r="58" spans="1:18" s="89" customFormat="1" ht="12" x14ac:dyDescent="0.2">
      <c r="A58" s="46">
        <v>50</v>
      </c>
      <c r="B58" s="88" t="s">
        <v>87</v>
      </c>
      <c r="C58" s="47">
        <f t="shared" si="1"/>
        <v>64399</v>
      </c>
      <c r="D58" s="47"/>
      <c r="E58" s="47">
        <f t="shared" si="2"/>
        <v>6202</v>
      </c>
      <c r="F58" s="47">
        <v>5733</v>
      </c>
      <c r="G58" s="47">
        <v>469</v>
      </c>
      <c r="H58" s="47">
        <v>1580</v>
      </c>
      <c r="I58" s="47">
        <v>1506</v>
      </c>
      <c r="J58" s="47">
        <v>2135</v>
      </c>
      <c r="K58" s="47">
        <f>35398-385</f>
        <v>35013</v>
      </c>
      <c r="L58" s="47"/>
      <c r="M58" s="47"/>
      <c r="N58" s="47"/>
      <c r="O58" s="47"/>
      <c r="P58" s="47"/>
      <c r="Q58" s="47">
        <f>5400+1142</f>
        <v>6542</v>
      </c>
      <c r="R58" s="47">
        <f>11890-469</f>
        <v>11421</v>
      </c>
    </row>
    <row r="59" spans="1:18" s="89" customFormat="1" ht="12" x14ac:dyDescent="0.2">
      <c r="A59" s="46">
        <v>51</v>
      </c>
      <c r="B59" s="88" t="s">
        <v>88</v>
      </c>
      <c r="C59" s="47">
        <f t="shared" si="1"/>
        <v>31712</v>
      </c>
      <c r="D59" s="47"/>
      <c r="E59" s="47">
        <f t="shared" si="2"/>
        <v>3124</v>
      </c>
      <c r="F59" s="47">
        <v>2942</v>
      </c>
      <c r="G59" s="47">
        <f>247-65</f>
        <v>182</v>
      </c>
      <c r="H59" s="47">
        <v>883</v>
      </c>
      <c r="I59" s="47">
        <v>1881</v>
      </c>
      <c r="J59" s="47">
        <v>1109</v>
      </c>
      <c r="K59" s="47">
        <v>15682</v>
      </c>
      <c r="L59" s="47"/>
      <c r="M59" s="47"/>
      <c r="N59" s="47"/>
      <c r="O59" s="47"/>
      <c r="P59" s="47"/>
      <c r="Q59" s="47">
        <f>4082+560</f>
        <v>4642</v>
      </c>
      <c r="R59" s="47">
        <f>4638-247</f>
        <v>4391</v>
      </c>
    </row>
    <row r="60" spans="1:18" s="89" customFormat="1" ht="12" x14ac:dyDescent="0.2">
      <c r="A60" s="46">
        <v>52</v>
      </c>
      <c r="B60" s="88" t="s">
        <v>270</v>
      </c>
      <c r="C60" s="47">
        <f t="shared" si="1"/>
        <v>0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s="89" customFormat="1" ht="12" x14ac:dyDescent="0.2">
      <c r="A61" s="46">
        <v>53</v>
      </c>
      <c r="B61" s="88" t="s">
        <v>271</v>
      </c>
      <c r="C61" s="47">
        <f t="shared" si="1"/>
        <v>0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s="89" customFormat="1" ht="12" x14ac:dyDescent="0.2">
      <c r="A62" s="46">
        <v>54</v>
      </c>
      <c r="B62" s="88" t="s">
        <v>89</v>
      </c>
      <c r="C62" s="47">
        <f t="shared" si="1"/>
        <v>60552</v>
      </c>
      <c r="D62" s="47"/>
      <c r="E62" s="47">
        <f t="shared" si="2"/>
        <v>13061</v>
      </c>
      <c r="F62" s="47">
        <v>12000</v>
      </c>
      <c r="G62" s="47">
        <f>1154-93</f>
        <v>1061</v>
      </c>
      <c r="H62" s="47">
        <v>3600</v>
      </c>
      <c r="I62" s="47"/>
      <c r="J62" s="47">
        <v>5754</v>
      </c>
      <c r="K62" s="47"/>
      <c r="L62" s="47"/>
      <c r="M62" s="47"/>
      <c r="N62" s="47"/>
      <c r="O62" s="47"/>
      <c r="P62" s="47"/>
      <c r="Q62" s="47">
        <f>8100+1913</f>
        <v>10013</v>
      </c>
      <c r="R62" s="47">
        <f>29278-1154</f>
        <v>28124</v>
      </c>
    </row>
    <row r="63" spans="1:18" s="89" customFormat="1" ht="24" x14ac:dyDescent="0.2">
      <c r="A63" s="46">
        <v>55</v>
      </c>
      <c r="B63" s="48" t="s">
        <v>272</v>
      </c>
      <c r="C63" s="47">
        <f t="shared" si="1"/>
        <v>105101</v>
      </c>
      <c r="D63" s="47">
        <v>35974</v>
      </c>
      <c r="E63" s="47">
        <f t="shared" si="2"/>
        <v>13997</v>
      </c>
      <c r="F63" s="47">
        <v>12820</v>
      </c>
      <c r="G63" s="47">
        <v>1177</v>
      </c>
      <c r="H63" s="47">
        <v>3846</v>
      </c>
      <c r="I63" s="47"/>
      <c r="J63" s="47">
        <v>7044</v>
      </c>
      <c r="K63" s="47"/>
      <c r="L63" s="47">
        <f t="shared" si="0"/>
        <v>1464</v>
      </c>
      <c r="M63" s="47">
        <v>879</v>
      </c>
      <c r="N63" s="47">
        <v>585</v>
      </c>
      <c r="O63" s="47"/>
      <c r="P63" s="47"/>
      <c r="Q63" s="47">
        <f>21700+2133</f>
        <v>23833</v>
      </c>
      <c r="R63" s="47">
        <f>20120-1177</f>
        <v>18943</v>
      </c>
    </row>
    <row r="64" spans="1:18" s="89" customFormat="1" ht="12" x14ac:dyDescent="0.2">
      <c r="A64" s="46">
        <v>56</v>
      </c>
      <c r="B64" s="48" t="s">
        <v>91</v>
      </c>
      <c r="C64" s="47">
        <f t="shared" si="1"/>
        <v>99217</v>
      </c>
      <c r="D64" s="47"/>
      <c r="E64" s="47">
        <f t="shared" si="2"/>
        <v>14400</v>
      </c>
      <c r="F64" s="47">
        <v>13160</v>
      </c>
      <c r="G64" s="47">
        <v>1240</v>
      </c>
      <c r="H64" s="47">
        <v>3608</v>
      </c>
      <c r="I64" s="47">
        <v>270</v>
      </c>
      <c r="J64" s="47">
        <v>6222</v>
      </c>
      <c r="K64" s="47">
        <v>31890</v>
      </c>
      <c r="L64" s="47">
        <v>1464</v>
      </c>
      <c r="M64" s="47">
        <v>878</v>
      </c>
      <c r="N64" s="47">
        <v>586</v>
      </c>
      <c r="O64" s="47"/>
      <c r="P64" s="47"/>
      <c r="Q64" s="47">
        <f>10575+2214</f>
        <v>12789</v>
      </c>
      <c r="R64" s="47">
        <f>29814-1240</f>
        <v>28574</v>
      </c>
    </row>
    <row r="65" spans="1:19" s="89" customFormat="1" ht="24" x14ac:dyDescent="0.2">
      <c r="A65" s="46">
        <v>57</v>
      </c>
      <c r="B65" s="48" t="s">
        <v>273</v>
      </c>
      <c r="C65" s="47">
        <f t="shared" si="1"/>
        <v>59341</v>
      </c>
      <c r="D65" s="47"/>
      <c r="E65" s="47">
        <f t="shared" si="2"/>
        <v>5313</v>
      </c>
      <c r="F65" s="47">
        <v>4800</v>
      </c>
      <c r="G65" s="47">
        <v>513</v>
      </c>
      <c r="H65" s="47">
        <v>1440</v>
      </c>
      <c r="I65" s="47">
        <v>36</v>
      </c>
      <c r="J65" s="47">
        <v>2704</v>
      </c>
      <c r="K65" s="47">
        <v>30484</v>
      </c>
      <c r="L65" s="47"/>
      <c r="M65" s="47"/>
      <c r="N65" s="47"/>
      <c r="O65" s="47"/>
      <c r="P65" s="47"/>
      <c r="Q65" s="47">
        <f>8500+1124</f>
        <v>9624</v>
      </c>
      <c r="R65" s="47">
        <f>10253-513</f>
        <v>9740</v>
      </c>
    </row>
    <row r="66" spans="1:19" s="92" customFormat="1" ht="42.75" customHeight="1" x14ac:dyDescent="0.2">
      <c r="A66" s="46">
        <v>58</v>
      </c>
      <c r="B66" s="93" t="s">
        <v>274</v>
      </c>
      <c r="C66" s="47">
        <f t="shared" si="1"/>
        <v>82970</v>
      </c>
      <c r="D66" s="91"/>
      <c r="E66" s="47">
        <f t="shared" si="2"/>
        <v>7725</v>
      </c>
      <c r="F66" s="91">
        <v>7073</v>
      </c>
      <c r="G66" s="47">
        <v>652</v>
      </c>
      <c r="H66" s="91">
        <v>2127</v>
      </c>
      <c r="I66" s="91">
        <v>495</v>
      </c>
      <c r="J66" s="91">
        <v>3101</v>
      </c>
      <c r="K66" s="91">
        <v>36725</v>
      </c>
      <c r="L66" s="91">
        <v>1464</v>
      </c>
      <c r="M66" s="91">
        <v>879</v>
      </c>
      <c r="N66" s="91">
        <v>585</v>
      </c>
      <c r="O66" s="91"/>
      <c r="P66" s="91"/>
      <c r="Q66" s="91">
        <f>9626+1439</f>
        <v>11065</v>
      </c>
      <c r="R66" s="91">
        <f>20920-652</f>
        <v>20268</v>
      </c>
      <c r="S66" s="89"/>
    </row>
    <row r="67" spans="1:19" s="89" customFormat="1" ht="25.5" customHeight="1" x14ac:dyDescent="0.2">
      <c r="A67" s="46">
        <v>59</v>
      </c>
      <c r="B67" s="48" t="s">
        <v>191</v>
      </c>
      <c r="C67" s="47">
        <f t="shared" si="1"/>
        <v>1400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>
        <v>1400</v>
      </c>
      <c r="P67" s="47"/>
      <c r="Q67" s="47"/>
      <c r="R67" s="47"/>
    </row>
    <row r="68" spans="1:19" s="89" customFormat="1" ht="12" x14ac:dyDescent="0.2">
      <c r="A68" s="46">
        <v>60</v>
      </c>
      <c r="B68" s="88" t="s">
        <v>95</v>
      </c>
      <c r="C68" s="47">
        <f t="shared" si="1"/>
        <v>215108</v>
      </c>
      <c r="D68" s="47">
        <v>10453</v>
      </c>
      <c r="E68" s="47"/>
      <c r="F68" s="47"/>
      <c r="G68" s="47"/>
      <c r="H68" s="47"/>
      <c r="I68" s="47">
        <v>2851</v>
      </c>
      <c r="J68" s="47"/>
      <c r="K68" s="47">
        <v>172192</v>
      </c>
      <c r="L68" s="47"/>
      <c r="M68" s="47"/>
      <c r="N68" s="47"/>
      <c r="O68" s="47"/>
      <c r="P68" s="47"/>
      <c r="Q68" s="47">
        <f>2041+1568</f>
        <v>3609</v>
      </c>
      <c r="R68" s="47">
        <v>26003</v>
      </c>
    </row>
    <row r="69" spans="1:19" s="89" customFormat="1" ht="12" x14ac:dyDescent="0.2">
      <c r="A69" s="46">
        <v>61</v>
      </c>
      <c r="B69" s="88" t="s">
        <v>96</v>
      </c>
      <c r="C69" s="47">
        <f t="shared" si="1"/>
        <v>10266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>
        <v>10266</v>
      </c>
      <c r="Q69" s="47"/>
      <c r="R69" s="47"/>
    </row>
    <row r="70" spans="1:19" s="89" customFormat="1" ht="12" x14ac:dyDescent="0.2">
      <c r="A70" s="46">
        <v>62</v>
      </c>
      <c r="B70" s="88" t="s">
        <v>275</v>
      </c>
      <c r="C70" s="47">
        <f t="shared" si="1"/>
        <v>11200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>
        <v>11200</v>
      </c>
      <c r="Q70" s="47"/>
      <c r="R70" s="47"/>
    </row>
    <row r="71" spans="1:19" s="89" customFormat="1" ht="24" x14ac:dyDescent="0.2">
      <c r="A71" s="46">
        <v>63</v>
      </c>
      <c r="B71" s="48" t="s">
        <v>192</v>
      </c>
      <c r="C71" s="47">
        <f t="shared" si="1"/>
        <v>7664</v>
      </c>
      <c r="D71" s="47"/>
      <c r="E71" s="47">
        <f t="shared" si="2"/>
        <v>2543</v>
      </c>
      <c r="F71" s="47">
        <v>2379</v>
      </c>
      <c r="G71" s="47">
        <v>164</v>
      </c>
      <c r="H71" s="47">
        <v>713</v>
      </c>
      <c r="I71" s="47"/>
      <c r="J71" s="47">
        <v>1149</v>
      </c>
      <c r="K71" s="47"/>
      <c r="L71" s="47"/>
      <c r="M71" s="47"/>
      <c r="N71" s="47"/>
      <c r="O71" s="47"/>
      <c r="P71" s="47"/>
      <c r="Q71" s="47">
        <f>782</f>
        <v>782</v>
      </c>
      <c r="R71" s="47">
        <f>2641-164</f>
        <v>2477</v>
      </c>
    </row>
    <row r="72" spans="1:19" s="89" customFormat="1" ht="12" x14ac:dyDescent="0.2">
      <c r="A72" s="46">
        <v>64</v>
      </c>
      <c r="B72" s="88" t="s">
        <v>97</v>
      </c>
      <c r="C72" s="47">
        <f t="shared" si="1"/>
        <v>187526</v>
      </c>
      <c r="D72" s="47">
        <v>8810</v>
      </c>
      <c r="E72" s="47">
        <f t="shared" si="2"/>
        <v>18563</v>
      </c>
      <c r="F72" s="47">
        <f>16601-174</f>
        <v>16427</v>
      </c>
      <c r="G72" s="47">
        <f>1452+684</f>
        <v>2136</v>
      </c>
      <c r="H72" s="47">
        <f>4150-477</f>
        <v>3673</v>
      </c>
      <c r="I72" s="47">
        <v>3127</v>
      </c>
      <c r="J72" s="47">
        <v>6209</v>
      </c>
      <c r="K72" s="47">
        <v>77822</v>
      </c>
      <c r="L72" s="47"/>
      <c r="M72" s="47"/>
      <c r="N72" s="47"/>
      <c r="O72" s="47"/>
      <c r="P72" s="47"/>
      <c r="Q72" s="47">
        <f>30930+3136</f>
        <v>34066</v>
      </c>
      <c r="R72" s="47">
        <f>36708-1452</f>
        <v>35256</v>
      </c>
    </row>
    <row r="73" spans="1:19" s="89" customFormat="1" ht="12" x14ac:dyDescent="0.2">
      <c r="A73" s="46">
        <v>65</v>
      </c>
      <c r="B73" s="88" t="s">
        <v>98</v>
      </c>
      <c r="C73" s="47">
        <f t="shared" si="1"/>
        <v>146743</v>
      </c>
      <c r="D73" s="47">
        <v>14973</v>
      </c>
      <c r="E73" s="47">
        <f t="shared" si="2"/>
        <v>13063</v>
      </c>
      <c r="F73" s="47">
        <v>12082</v>
      </c>
      <c r="G73" s="47">
        <v>981</v>
      </c>
      <c r="H73" s="47">
        <v>2840</v>
      </c>
      <c r="I73" s="47">
        <v>2227</v>
      </c>
      <c r="J73" s="47">
        <v>4720</v>
      </c>
      <c r="K73" s="47">
        <v>52816</v>
      </c>
      <c r="L73" s="47"/>
      <c r="M73" s="47"/>
      <c r="N73" s="47"/>
      <c r="O73" s="47"/>
      <c r="P73" s="47"/>
      <c r="Q73" s="47">
        <f>16372+2313</f>
        <v>18685</v>
      </c>
      <c r="R73" s="47">
        <f>38400-981</f>
        <v>37419</v>
      </c>
    </row>
    <row r="74" spans="1:19" s="92" customFormat="1" ht="32.25" customHeight="1" x14ac:dyDescent="0.2">
      <c r="A74" s="46">
        <v>66</v>
      </c>
      <c r="B74" s="93" t="s">
        <v>99</v>
      </c>
      <c r="C74" s="47">
        <f t="shared" ref="C74:C137" si="3">D74+E74+H74+I74+J74+K74+L74+O74+P74+Q74+R74</f>
        <v>48450</v>
      </c>
      <c r="D74" s="91"/>
      <c r="E74" s="47">
        <f t="shared" ref="E74:E137" si="4">F74+G74</f>
        <v>5051</v>
      </c>
      <c r="F74" s="91">
        <v>4507</v>
      </c>
      <c r="G74" s="47">
        <v>544</v>
      </c>
      <c r="H74" s="91">
        <v>1154</v>
      </c>
      <c r="I74" s="91">
        <v>962</v>
      </c>
      <c r="J74" s="91">
        <v>1667</v>
      </c>
      <c r="K74" s="91">
        <v>21004</v>
      </c>
      <c r="L74" s="47"/>
      <c r="M74" s="91"/>
      <c r="N74" s="91"/>
      <c r="O74" s="91"/>
      <c r="P74" s="91"/>
      <c r="Q74" s="91">
        <f>5788+850</f>
        <v>6638</v>
      </c>
      <c r="R74" s="91">
        <f>12518-544</f>
        <v>11974</v>
      </c>
      <c r="S74" s="89"/>
    </row>
    <row r="75" spans="1:19" s="89" customFormat="1" ht="12" x14ac:dyDescent="0.2">
      <c r="A75" s="46">
        <v>67</v>
      </c>
      <c r="B75" s="88" t="s">
        <v>100</v>
      </c>
      <c r="C75" s="47">
        <f t="shared" si="3"/>
        <v>170365</v>
      </c>
      <c r="D75" s="47"/>
      <c r="E75" s="47">
        <f t="shared" si="4"/>
        <v>17732</v>
      </c>
      <c r="F75" s="47">
        <v>16323</v>
      </c>
      <c r="G75" s="47">
        <v>1409</v>
      </c>
      <c r="H75" s="47">
        <f>4897-483</f>
        <v>4414</v>
      </c>
      <c r="I75" s="47">
        <v>3853</v>
      </c>
      <c r="J75" s="47">
        <v>7107</v>
      </c>
      <c r="K75" s="47">
        <v>76844</v>
      </c>
      <c r="L75" s="47">
        <f t="shared" si="0"/>
        <v>1464</v>
      </c>
      <c r="M75" s="47">
        <v>1164</v>
      </c>
      <c r="N75" s="47">
        <v>300</v>
      </c>
      <c r="O75" s="47"/>
      <c r="P75" s="47"/>
      <c r="Q75" s="47">
        <f>20114+2992</f>
        <v>23106</v>
      </c>
      <c r="R75" s="47">
        <f>37254-1409</f>
        <v>35845</v>
      </c>
    </row>
    <row r="76" spans="1:19" s="89" customFormat="1" ht="12" x14ac:dyDescent="0.2">
      <c r="A76" s="46">
        <v>68</v>
      </c>
      <c r="B76" s="88" t="s">
        <v>101</v>
      </c>
      <c r="C76" s="47">
        <f t="shared" si="3"/>
        <v>116388</v>
      </c>
      <c r="D76" s="47">
        <v>24093</v>
      </c>
      <c r="E76" s="47">
        <f t="shared" si="4"/>
        <v>26287</v>
      </c>
      <c r="F76" s="47">
        <v>24112</v>
      </c>
      <c r="G76" s="47">
        <f>2061+114</f>
        <v>2175</v>
      </c>
      <c r="H76" s="47">
        <v>6028</v>
      </c>
      <c r="I76" s="47">
        <v>0</v>
      </c>
      <c r="J76" s="47">
        <v>13198</v>
      </c>
      <c r="K76" s="47">
        <v>0</v>
      </c>
      <c r="L76" s="47">
        <f t="shared" si="0"/>
        <v>1464</v>
      </c>
      <c r="M76" s="47">
        <v>1025</v>
      </c>
      <c r="N76" s="47">
        <v>439</v>
      </c>
      <c r="O76" s="47"/>
      <c r="P76" s="47"/>
      <c r="Q76" s="47">
        <f>27978-16500+3413</f>
        <v>14891</v>
      </c>
      <c r="R76" s="47">
        <f>32488-2061</f>
        <v>30427</v>
      </c>
    </row>
    <row r="77" spans="1:19" s="92" customFormat="1" ht="33" customHeight="1" x14ac:dyDescent="0.2">
      <c r="A77" s="46">
        <v>69</v>
      </c>
      <c r="B77" s="93" t="s">
        <v>102</v>
      </c>
      <c r="C77" s="47">
        <f t="shared" si="3"/>
        <v>129930</v>
      </c>
      <c r="D77" s="91"/>
      <c r="E77" s="47"/>
      <c r="F77" s="91"/>
      <c r="G77" s="47"/>
      <c r="H77" s="91"/>
      <c r="I77" s="91">
        <v>1800</v>
      </c>
      <c r="J77" s="91"/>
      <c r="K77" s="91">
        <f>117731-1033</f>
        <v>116698</v>
      </c>
      <c r="L77" s="91"/>
      <c r="M77" s="91"/>
      <c r="N77" s="91"/>
      <c r="O77" s="91"/>
      <c r="P77" s="91"/>
      <c r="Q77" s="91">
        <f>3416+1003</f>
        <v>4419</v>
      </c>
      <c r="R77" s="91">
        <v>7013</v>
      </c>
      <c r="S77" s="89"/>
    </row>
    <row r="78" spans="1:19" s="92" customFormat="1" ht="14.25" customHeight="1" x14ac:dyDescent="0.2">
      <c r="A78" s="46">
        <v>70</v>
      </c>
      <c r="B78" s="48" t="s">
        <v>276</v>
      </c>
      <c r="C78" s="47">
        <f t="shared" si="3"/>
        <v>16500</v>
      </c>
      <c r="D78" s="91"/>
      <c r="E78" s="47"/>
      <c r="F78" s="91"/>
      <c r="G78" s="47"/>
      <c r="H78" s="91"/>
      <c r="I78" s="91"/>
      <c r="J78" s="91"/>
      <c r="K78" s="91"/>
      <c r="L78" s="91"/>
      <c r="M78" s="91"/>
      <c r="N78" s="91"/>
      <c r="O78" s="91"/>
      <c r="P78" s="91"/>
      <c r="Q78" s="91">
        <v>16500</v>
      </c>
      <c r="R78" s="91"/>
      <c r="S78" s="89"/>
    </row>
    <row r="79" spans="1:19" s="89" customFormat="1" ht="24" x14ac:dyDescent="0.2">
      <c r="A79" s="46">
        <v>71</v>
      </c>
      <c r="B79" s="48" t="s">
        <v>277</v>
      </c>
      <c r="C79" s="47">
        <f t="shared" si="3"/>
        <v>14000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>
        <v>14000</v>
      </c>
      <c r="Q79" s="47"/>
      <c r="R79" s="47"/>
    </row>
    <row r="80" spans="1:19" s="89" customFormat="1" ht="12" x14ac:dyDescent="0.2">
      <c r="A80" s="46">
        <v>72</v>
      </c>
      <c r="B80" s="88" t="s">
        <v>104</v>
      </c>
      <c r="C80" s="47">
        <f t="shared" si="3"/>
        <v>11900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>
        <v>11900</v>
      </c>
      <c r="Q80" s="47"/>
      <c r="R80" s="47"/>
    </row>
    <row r="81" spans="1:18" s="89" customFormat="1" ht="12" x14ac:dyDescent="0.2">
      <c r="A81" s="46">
        <v>73</v>
      </c>
      <c r="B81" s="88" t="s">
        <v>105</v>
      </c>
      <c r="C81" s="47">
        <f t="shared" si="3"/>
        <v>58356</v>
      </c>
      <c r="D81" s="47"/>
      <c r="E81" s="47">
        <f t="shared" si="4"/>
        <v>5636</v>
      </c>
      <c r="F81" s="47">
        <v>5221</v>
      </c>
      <c r="G81" s="47">
        <v>415</v>
      </c>
      <c r="H81" s="47">
        <v>1352</v>
      </c>
      <c r="I81" s="47">
        <v>225</v>
      </c>
      <c r="J81" s="47">
        <v>1923</v>
      </c>
      <c r="K81" s="47">
        <v>29142</v>
      </c>
      <c r="L81" s="47"/>
      <c r="M81" s="47"/>
      <c r="N81" s="47"/>
      <c r="O81" s="47"/>
      <c r="P81" s="47"/>
      <c r="Q81" s="47">
        <f>9490+1024</f>
        <v>10514</v>
      </c>
      <c r="R81" s="47">
        <f>9979-415</f>
        <v>9564</v>
      </c>
    </row>
    <row r="82" spans="1:18" s="89" customFormat="1" ht="12" x14ac:dyDescent="0.2">
      <c r="A82" s="46">
        <v>74</v>
      </c>
      <c r="B82" s="88" t="s">
        <v>106</v>
      </c>
      <c r="C82" s="47">
        <f t="shared" si="3"/>
        <v>71336</v>
      </c>
      <c r="D82" s="47"/>
      <c r="E82" s="47">
        <f t="shared" si="4"/>
        <v>6903</v>
      </c>
      <c r="F82" s="47">
        <v>6385</v>
      </c>
      <c r="G82" s="47">
        <v>518</v>
      </c>
      <c r="H82" s="47">
        <v>1326</v>
      </c>
      <c r="I82" s="47">
        <v>360</v>
      </c>
      <c r="J82" s="47">
        <v>2393</v>
      </c>
      <c r="K82" s="47">
        <v>34511</v>
      </c>
      <c r="L82" s="47"/>
      <c r="M82" s="47"/>
      <c r="N82" s="47"/>
      <c r="O82" s="47"/>
      <c r="P82" s="47"/>
      <c r="Q82" s="47">
        <f>8446+1252</f>
        <v>9698</v>
      </c>
      <c r="R82" s="47">
        <f>16663-518</f>
        <v>16145</v>
      </c>
    </row>
    <row r="83" spans="1:18" s="89" customFormat="1" ht="12" x14ac:dyDescent="0.2">
      <c r="A83" s="46">
        <v>75</v>
      </c>
      <c r="B83" s="88" t="s">
        <v>107</v>
      </c>
      <c r="C83" s="47">
        <f t="shared" si="3"/>
        <v>64706</v>
      </c>
      <c r="D83" s="47"/>
      <c r="E83" s="47">
        <f t="shared" si="4"/>
        <v>6344</v>
      </c>
      <c r="F83" s="47">
        <v>5892</v>
      </c>
      <c r="G83" s="47">
        <f>508-56</f>
        <v>452</v>
      </c>
      <c r="H83" s="47">
        <v>1473</v>
      </c>
      <c r="I83" s="47">
        <v>387</v>
      </c>
      <c r="J83" s="47">
        <v>2057</v>
      </c>
      <c r="K83" s="47">
        <v>29662</v>
      </c>
      <c r="L83" s="47"/>
      <c r="M83" s="47"/>
      <c r="N83" s="47"/>
      <c r="O83" s="47"/>
      <c r="P83" s="47"/>
      <c r="Q83" s="47">
        <f>7600+1143</f>
        <v>8743</v>
      </c>
      <c r="R83" s="47">
        <f>16548-508</f>
        <v>16040</v>
      </c>
    </row>
    <row r="84" spans="1:18" s="89" customFormat="1" ht="12" x14ac:dyDescent="0.2">
      <c r="A84" s="46">
        <v>76</v>
      </c>
      <c r="B84" s="88" t="s">
        <v>108</v>
      </c>
      <c r="C84" s="47">
        <f t="shared" si="3"/>
        <v>41434</v>
      </c>
      <c r="D84" s="47"/>
      <c r="E84" s="47">
        <f t="shared" si="4"/>
        <v>4284</v>
      </c>
      <c r="F84" s="47">
        <v>3930</v>
      </c>
      <c r="G84" s="47">
        <v>354</v>
      </c>
      <c r="H84" s="47">
        <v>1080</v>
      </c>
      <c r="I84" s="47">
        <v>1618</v>
      </c>
      <c r="J84" s="47">
        <v>1456</v>
      </c>
      <c r="K84" s="47">
        <v>17462</v>
      </c>
      <c r="L84" s="47"/>
      <c r="M84" s="47"/>
      <c r="N84" s="47"/>
      <c r="O84" s="47"/>
      <c r="P84" s="47"/>
      <c r="Q84" s="47">
        <f>4427+733</f>
        <v>5160</v>
      </c>
      <c r="R84" s="47">
        <f>10728-354</f>
        <v>10374</v>
      </c>
    </row>
    <row r="85" spans="1:18" s="89" customFormat="1" ht="12" x14ac:dyDescent="0.2">
      <c r="A85" s="46">
        <v>77</v>
      </c>
      <c r="B85" s="88" t="s">
        <v>109</v>
      </c>
      <c r="C85" s="47">
        <f t="shared" si="3"/>
        <v>72073</v>
      </c>
      <c r="D85" s="47"/>
      <c r="E85" s="47">
        <f t="shared" si="4"/>
        <v>7429</v>
      </c>
      <c r="F85" s="47">
        <v>6837</v>
      </c>
      <c r="G85" s="47">
        <v>592</v>
      </c>
      <c r="H85" s="47">
        <v>1982</v>
      </c>
      <c r="I85" s="47">
        <v>1114</v>
      </c>
      <c r="J85" s="47">
        <v>2559</v>
      </c>
      <c r="K85" s="47">
        <v>28614</v>
      </c>
      <c r="L85" s="47"/>
      <c r="M85" s="47"/>
      <c r="N85" s="47"/>
      <c r="O85" s="47"/>
      <c r="P85" s="47"/>
      <c r="Q85" s="47">
        <f>4671+1273</f>
        <v>5944</v>
      </c>
      <c r="R85" s="47">
        <f>25023-592</f>
        <v>24431</v>
      </c>
    </row>
    <row r="86" spans="1:18" s="89" customFormat="1" ht="12" x14ac:dyDescent="0.2">
      <c r="A86" s="46">
        <v>78</v>
      </c>
      <c r="B86" s="88" t="s">
        <v>110</v>
      </c>
      <c r="C86" s="47">
        <f t="shared" si="3"/>
        <v>34707</v>
      </c>
      <c r="D86" s="47"/>
      <c r="E86" s="47">
        <f t="shared" si="4"/>
        <v>3622</v>
      </c>
      <c r="F86" s="47">
        <v>3326</v>
      </c>
      <c r="G86" s="47">
        <v>296</v>
      </c>
      <c r="H86" s="47">
        <v>841</v>
      </c>
      <c r="I86" s="47">
        <v>881</v>
      </c>
      <c r="J86" s="47">
        <v>1122</v>
      </c>
      <c r="K86" s="47">
        <v>13477</v>
      </c>
      <c r="L86" s="47"/>
      <c r="M86" s="47"/>
      <c r="N86" s="47"/>
      <c r="O86" s="47"/>
      <c r="P86" s="47"/>
      <c r="Q86" s="47">
        <f>5379+609</f>
        <v>5988</v>
      </c>
      <c r="R86" s="47">
        <f>9072-296</f>
        <v>8776</v>
      </c>
    </row>
    <row r="87" spans="1:18" s="89" customFormat="1" ht="12" x14ac:dyDescent="0.2">
      <c r="A87" s="46">
        <v>79</v>
      </c>
      <c r="B87" s="88" t="s">
        <v>45</v>
      </c>
      <c r="C87" s="47">
        <f t="shared" si="3"/>
        <v>17420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>
        <f>4133</f>
        <v>4133</v>
      </c>
      <c r="R87" s="47">
        <v>13287</v>
      </c>
    </row>
    <row r="88" spans="1:18" s="89" customFormat="1" ht="12" x14ac:dyDescent="0.2">
      <c r="A88" s="46">
        <v>80</v>
      </c>
      <c r="B88" s="88" t="s">
        <v>112</v>
      </c>
      <c r="C88" s="47">
        <f t="shared" si="3"/>
        <v>264572</v>
      </c>
      <c r="D88" s="47">
        <v>5169</v>
      </c>
      <c r="E88" s="47">
        <f t="shared" si="4"/>
        <v>25781</v>
      </c>
      <c r="F88" s="47">
        <v>23683</v>
      </c>
      <c r="G88" s="47">
        <v>2098</v>
      </c>
      <c r="H88" s="47">
        <v>7143</v>
      </c>
      <c r="I88" s="47">
        <v>6398</v>
      </c>
      <c r="J88" s="47">
        <v>11638</v>
      </c>
      <c r="K88" s="47">
        <v>123522</v>
      </c>
      <c r="L88" s="47">
        <f>M88+N88</f>
        <v>1464</v>
      </c>
      <c r="M88" s="47">
        <v>1064</v>
      </c>
      <c r="N88" s="47">
        <v>400</v>
      </c>
      <c r="O88" s="47"/>
      <c r="P88" s="47"/>
      <c r="Q88" s="47">
        <f>30604+4545</f>
        <v>35149</v>
      </c>
      <c r="R88" s="47">
        <f>50406-2098</f>
        <v>48308</v>
      </c>
    </row>
    <row r="89" spans="1:18" s="89" customFormat="1" ht="12" x14ac:dyDescent="0.2">
      <c r="A89" s="46">
        <v>81</v>
      </c>
      <c r="B89" s="88" t="s">
        <v>113</v>
      </c>
      <c r="C89" s="47">
        <f t="shared" si="3"/>
        <v>241083</v>
      </c>
      <c r="D89" s="47">
        <v>39377</v>
      </c>
      <c r="E89" s="47">
        <f t="shared" si="4"/>
        <v>18805</v>
      </c>
      <c r="F89" s="47">
        <v>17300</v>
      </c>
      <c r="G89" s="47">
        <f>1773-268</f>
        <v>1505</v>
      </c>
      <c r="H89" s="47">
        <v>5191</v>
      </c>
      <c r="I89" s="47">
        <v>2845</v>
      </c>
      <c r="J89" s="47">
        <v>9600</v>
      </c>
      <c r="K89" s="47">
        <f>96379-534</f>
        <v>95845</v>
      </c>
      <c r="L89" s="47">
        <f t="shared" si="0"/>
        <v>1464</v>
      </c>
      <c r="M89" s="47">
        <v>1170</v>
      </c>
      <c r="N89" s="47">
        <v>294</v>
      </c>
      <c r="O89" s="47"/>
      <c r="P89" s="47"/>
      <c r="Q89" s="47">
        <f>27458+3751</f>
        <v>31209</v>
      </c>
      <c r="R89" s="47">
        <f>38520-1773</f>
        <v>36747</v>
      </c>
    </row>
    <row r="90" spans="1:18" s="89" customFormat="1" ht="24" x14ac:dyDescent="0.2">
      <c r="A90" s="46">
        <v>82</v>
      </c>
      <c r="B90" s="48" t="s">
        <v>278</v>
      </c>
      <c r="C90" s="47">
        <f t="shared" si="3"/>
        <v>11200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>
        <v>11200</v>
      </c>
      <c r="Q90" s="47"/>
      <c r="R90" s="47"/>
    </row>
    <row r="91" spans="1:18" s="89" customFormat="1" ht="12" x14ac:dyDescent="0.2">
      <c r="A91" s="46">
        <v>83</v>
      </c>
      <c r="B91" s="88" t="s">
        <v>114</v>
      </c>
      <c r="C91" s="47">
        <f t="shared" si="3"/>
        <v>58889</v>
      </c>
      <c r="D91" s="47"/>
      <c r="E91" s="47">
        <f t="shared" si="4"/>
        <v>6086</v>
      </c>
      <c r="F91" s="47">
        <v>5601</v>
      </c>
      <c r="G91" s="47">
        <v>485</v>
      </c>
      <c r="H91" s="47">
        <v>1942</v>
      </c>
      <c r="I91" s="47">
        <v>1170</v>
      </c>
      <c r="J91" s="47">
        <v>2032</v>
      </c>
      <c r="K91" s="47">
        <v>24734</v>
      </c>
      <c r="L91" s="47"/>
      <c r="M91" s="47"/>
      <c r="N91" s="47"/>
      <c r="O91" s="47"/>
      <c r="P91" s="47"/>
      <c r="Q91" s="47">
        <f>5839+1038</f>
        <v>6877</v>
      </c>
      <c r="R91" s="47">
        <f>16533-485</f>
        <v>16048</v>
      </c>
    </row>
    <row r="92" spans="1:18" s="89" customFormat="1" ht="12" x14ac:dyDescent="0.2">
      <c r="A92" s="46">
        <v>84</v>
      </c>
      <c r="B92" s="88" t="s">
        <v>115</v>
      </c>
      <c r="C92" s="47">
        <f t="shared" si="3"/>
        <v>67696</v>
      </c>
      <c r="D92" s="47"/>
      <c r="E92" s="47">
        <f t="shared" si="4"/>
        <v>6249</v>
      </c>
      <c r="F92" s="47">
        <v>5700</v>
      </c>
      <c r="G92" s="47">
        <v>549</v>
      </c>
      <c r="H92" s="47">
        <v>1860</v>
      </c>
      <c r="I92" s="47">
        <v>1115</v>
      </c>
      <c r="J92" s="47">
        <v>1220</v>
      </c>
      <c r="K92" s="47">
        <f>29961+88</f>
        <v>30049</v>
      </c>
      <c r="L92" s="47"/>
      <c r="M92" s="47"/>
      <c r="N92" s="47"/>
      <c r="O92" s="47"/>
      <c r="P92" s="47"/>
      <c r="Q92" s="47">
        <f>10966+1196</f>
        <v>12162</v>
      </c>
      <c r="R92" s="47">
        <f>15590-549</f>
        <v>15041</v>
      </c>
    </row>
    <row r="93" spans="1:18" s="89" customFormat="1" ht="12" x14ac:dyDescent="0.2">
      <c r="A93" s="46">
        <v>85</v>
      </c>
      <c r="B93" s="88" t="s">
        <v>116</v>
      </c>
      <c r="C93" s="47">
        <f t="shared" si="3"/>
        <v>46075</v>
      </c>
      <c r="D93" s="47"/>
      <c r="E93" s="47">
        <f t="shared" si="4"/>
        <v>4626</v>
      </c>
      <c r="F93" s="47">
        <v>4272</v>
      </c>
      <c r="G93" s="47">
        <v>354</v>
      </c>
      <c r="H93" s="47">
        <v>1267</v>
      </c>
      <c r="I93" s="47">
        <v>945</v>
      </c>
      <c r="J93" s="47">
        <v>1601</v>
      </c>
      <c r="K93" s="47">
        <v>20655</v>
      </c>
      <c r="L93" s="47"/>
      <c r="M93" s="47"/>
      <c r="N93" s="47"/>
      <c r="O93" s="47"/>
      <c r="P93" s="47"/>
      <c r="Q93" s="47">
        <f>8240+812</f>
        <v>9052</v>
      </c>
      <c r="R93" s="47">
        <f>8283-354</f>
        <v>7929</v>
      </c>
    </row>
    <row r="94" spans="1:18" s="89" customFormat="1" ht="12" x14ac:dyDescent="0.2">
      <c r="A94" s="46">
        <v>86</v>
      </c>
      <c r="B94" s="88" t="s">
        <v>196</v>
      </c>
      <c r="C94" s="47">
        <f t="shared" si="3"/>
        <v>171002</v>
      </c>
      <c r="D94" s="47"/>
      <c r="E94" s="47"/>
      <c r="F94" s="47"/>
      <c r="G94" s="47"/>
      <c r="H94" s="47"/>
      <c r="I94" s="47">
        <v>2300</v>
      </c>
      <c r="J94" s="47"/>
      <c r="K94" s="47">
        <v>152712</v>
      </c>
      <c r="L94" s="47"/>
      <c r="M94" s="47"/>
      <c r="N94" s="47"/>
      <c r="O94" s="47"/>
      <c r="P94" s="47"/>
      <c r="Q94" s="47">
        <f>8791+1305</f>
        <v>10096</v>
      </c>
      <c r="R94" s="47">
        <v>5894</v>
      </c>
    </row>
    <row r="95" spans="1:18" s="89" customFormat="1" ht="12" x14ac:dyDescent="0.2">
      <c r="A95" s="46">
        <v>87</v>
      </c>
      <c r="B95" s="88" t="s">
        <v>197</v>
      </c>
      <c r="C95" s="47">
        <f t="shared" si="3"/>
        <v>144965</v>
      </c>
      <c r="D95" s="47"/>
      <c r="E95" s="47"/>
      <c r="F95" s="47"/>
      <c r="G95" s="47"/>
      <c r="H95" s="47"/>
      <c r="I95" s="47">
        <v>3757</v>
      </c>
      <c r="J95" s="47"/>
      <c r="K95" s="47">
        <v>129406</v>
      </c>
      <c r="L95" s="47"/>
      <c r="M95" s="47"/>
      <c r="N95" s="47"/>
      <c r="O95" s="47"/>
      <c r="P95" s="47"/>
      <c r="Q95" s="47">
        <f>1276+1106</f>
        <v>2382</v>
      </c>
      <c r="R95" s="47">
        <v>9420</v>
      </c>
    </row>
    <row r="96" spans="1:18" s="89" customFormat="1" ht="12" x14ac:dyDescent="0.2">
      <c r="A96" s="46">
        <v>88</v>
      </c>
      <c r="B96" s="88" t="s">
        <v>198</v>
      </c>
      <c r="C96" s="47">
        <f t="shared" si="3"/>
        <v>198576</v>
      </c>
      <c r="D96" s="47"/>
      <c r="E96" s="47"/>
      <c r="F96" s="47"/>
      <c r="G96" s="47"/>
      <c r="H96" s="47"/>
      <c r="I96" s="47">
        <v>582</v>
      </c>
      <c r="J96" s="47"/>
      <c r="K96" s="47">
        <v>183246</v>
      </c>
      <c r="L96" s="47"/>
      <c r="M96" s="47"/>
      <c r="N96" s="47"/>
      <c r="O96" s="47"/>
      <c r="P96" s="47"/>
      <c r="Q96" s="47">
        <f>9000+1494</f>
        <v>10494</v>
      </c>
      <c r="R96" s="47">
        <v>4254</v>
      </c>
    </row>
    <row r="97" spans="1:18" s="89" customFormat="1" ht="12" x14ac:dyDescent="0.2">
      <c r="A97" s="46">
        <v>89</v>
      </c>
      <c r="B97" s="88" t="s">
        <v>199</v>
      </c>
      <c r="C97" s="47">
        <f t="shared" si="3"/>
        <v>257334</v>
      </c>
      <c r="D97" s="47">
        <v>14220</v>
      </c>
      <c r="E97" s="47"/>
      <c r="F97" s="47"/>
      <c r="G97" s="47"/>
      <c r="H97" s="47"/>
      <c r="I97" s="47">
        <v>3366</v>
      </c>
      <c r="J97" s="47"/>
      <c r="K97" s="47">
        <v>226163</v>
      </c>
      <c r="L97" s="47"/>
      <c r="M97" s="47"/>
      <c r="N97" s="47"/>
      <c r="O97" s="47"/>
      <c r="P97" s="47"/>
      <c r="Q97" s="47">
        <f>5300+1855</f>
        <v>7155</v>
      </c>
      <c r="R97" s="47">
        <v>6430</v>
      </c>
    </row>
    <row r="98" spans="1:18" s="89" customFormat="1" ht="12" x14ac:dyDescent="0.2">
      <c r="A98" s="46">
        <v>90</v>
      </c>
      <c r="B98" s="88" t="s">
        <v>279</v>
      </c>
      <c r="C98" s="47">
        <f t="shared" si="3"/>
        <v>88919</v>
      </c>
      <c r="D98" s="47"/>
      <c r="E98" s="47"/>
      <c r="F98" s="47"/>
      <c r="G98" s="47"/>
      <c r="H98" s="47"/>
      <c r="I98" s="47">
        <v>675</v>
      </c>
      <c r="J98" s="47"/>
      <c r="K98" s="47">
        <v>78162</v>
      </c>
      <c r="L98" s="47"/>
      <c r="M98" s="47"/>
      <c r="N98" s="47"/>
      <c r="O98" s="47"/>
      <c r="P98" s="47"/>
      <c r="Q98" s="47">
        <f>2600+676</f>
        <v>3276</v>
      </c>
      <c r="R98" s="47">
        <v>6806</v>
      </c>
    </row>
    <row r="99" spans="1:18" s="89" customFormat="1" ht="12" x14ac:dyDescent="0.2">
      <c r="A99" s="46">
        <v>91</v>
      </c>
      <c r="B99" s="88" t="s">
        <v>280</v>
      </c>
      <c r="C99" s="47">
        <f t="shared" si="3"/>
        <v>24000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>
        <v>24000</v>
      </c>
      <c r="Q99" s="47"/>
      <c r="R99" s="47"/>
    </row>
    <row r="100" spans="1:18" s="89" customFormat="1" ht="12" x14ac:dyDescent="0.2">
      <c r="A100" s="46">
        <v>92</v>
      </c>
      <c r="B100" s="88" t="s">
        <v>281</v>
      </c>
      <c r="C100" s="47">
        <f t="shared" si="3"/>
        <v>25596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>
        <v>25596</v>
      </c>
      <c r="Q100" s="47"/>
      <c r="R100" s="47"/>
    </row>
    <row r="101" spans="1:18" s="89" customFormat="1" ht="12" x14ac:dyDescent="0.2">
      <c r="A101" s="46">
        <v>93</v>
      </c>
      <c r="B101" s="88" t="s">
        <v>201</v>
      </c>
      <c r="C101" s="47">
        <f t="shared" si="3"/>
        <v>68648</v>
      </c>
      <c r="D101" s="47"/>
      <c r="E101" s="47">
        <f t="shared" si="4"/>
        <v>14753</v>
      </c>
      <c r="F101" s="47">
        <f>14996-1000</f>
        <v>13996</v>
      </c>
      <c r="G101" s="47">
        <v>757</v>
      </c>
      <c r="H101" s="47">
        <v>2076</v>
      </c>
      <c r="I101" s="47"/>
      <c r="J101" s="47">
        <v>4811</v>
      </c>
      <c r="K101" s="47">
        <v>27468</v>
      </c>
      <c r="L101" s="47"/>
      <c r="M101" s="47"/>
      <c r="N101" s="47"/>
      <c r="O101" s="47"/>
      <c r="P101" s="47"/>
      <c r="Q101" s="47">
        <f>2380+2526</f>
        <v>4906</v>
      </c>
      <c r="R101" s="47">
        <f>15391-757</f>
        <v>14634</v>
      </c>
    </row>
    <row r="102" spans="1:18" s="89" customFormat="1" ht="12" x14ac:dyDescent="0.2">
      <c r="A102" s="46">
        <v>94</v>
      </c>
      <c r="B102" s="88" t="s">
        <v>202</v>
      </c>
      <c r="C102" s="47">
        <f t="shared" si="3"/>
        <v>56040</v>
      </c>
      <c r="D102" s="47">
        <f>17433-793</f>
        <v>16640</v>
      </c>
      <c r="E102" s="47">
        <f t="shared" si="4"/>
        <v>10548</v>
      </c>
      <c r="F102" s="47">
        <v>9701</v>
      </c>
      <c r="G102" s="47">
        <v>847</v>
      </c>
      <c r="H102" s="47">
        <v>2910</v>
      </c>
      <c r="I102" s="47"/>
      <c r="J102" s="47">
        <v>5166</v>
      </c>
      <c r="K102" s="47"/>
      <c r="L102" s="47"/>
      <c r="M102" s="47"/>
      <c r="N102" s="47"/>
      <c r="O102" s="47"/>
      <c r="P102" s="47"/>
      <c r="Q102" s="47">
        <f>4403+1467</f>
        <v>5870</v>
      </c>
      <c r="R102" s="47">
        <f>15753-847</f>
        <v>14906</v>
      </c>
    </row>
    <row r="103" spans="1:18" s="89" customFormat="1" ht="12" x14ac:dyDescent="0.2">
      <c r="A103" s="46">
        <v>95</v>
      </c>
      <c r="B103" s="88" t="s">
        <v>203</v>
      </c>
      <c r="C103" s="47">
        <f t="shared" si="3"/>
        <v>39625</v>
      </c>
      <c r="D103" s="47"/>
      <c r="E103" s="47">
        <f t="shared" si="4"/>
        <v>9479</v>
      </c>
      <c r="F103" s="47">
        <f>7973+675</f>
        <v>8648</v>
      </c>
      <c r="G103" s="47">
        <v>831</v>
      </c>
      <c r="H103" s="47">
        <v>1993</v>
      </c>
      <c r="I103" s="47"/>
      <c r="J103" s="47">
        <v>4602</v>
      </c>
      <c r="K103" s="47"/>
      <c r="L103" s="47"/>
      <c r="M103" s="47"/>
      <c r="N103" s="47"/>
      <c r="O103" s="47"/>
      <c r="P103" s="47"/>
      <c r="Q103" s="47">
        <f>9861+1400</f>
        <v>11261</v>
      </c>
      <c r="R103" s="47">
        <f>13121-831</f>
        <v>12290</v>
      </c>
    </row>
    <row r="104" spans="1:18" s="89" customFormat="1" ht="12" x14ac:dyDescent="0.2">
      <c r="A104" s="46">
        <v>96</v>
      </c>
      <c r="B104" s="88" t="s">
        <v>204</v>
      </c>
      <c r="C104" s="47">
        <f t="shared" si="3"/>
        <v>54767</v>
      </c>
      <c r="D104" s="47">
        <v>26129</v>
      </c>
      <c r="E104" s="47">
        <f t="shared" si="4"/>
        <v>7471</v>
      </c>
      <c r="F104" s="47">
        <v>6883</v>
      </c>
      <c r="G104" s="47">
        <v>588</v>
      </c>
      <c r="H104" s="47">
        <v>1720</v>
      </c>
      <c r="I104" s="47"/>
      <c r="J104" s="47">
        <v>3340</v>
      </c>
      <c r="K104" s="47"/>
      <c r="L104" s="47"/>
      <c r="M104" s="47"/>
      <c r="N104" s="47"/>
      <c r="O104" s="47"/>
      <c r="P104" s="47"/>
      <c r="Q104" s="47">
        <f>4099+1050</f>
        <v>5149</v>
      </c>
      <c r="R104" s="47">
        <f>11546-588</f>
        <v>10958</v>
      </c>
    </row>
    <row r="105" spans="1:18" s="89" customFormat="1" ht="12" x14ac:dyDescent="0.2">
      <c r="A105" s="46">
        <v>97</v>
      </c>
      <c r="B105" s="88" t="s">
        <v>205</v>
      </c>
      <c r="C105" s="47">
        <f t="shared" si="3"/>
        <v>96306</v>
      </c>
      <c r="D105" s="47"/>
      <c r="E105" s="47">
        <f t="shared" si="4"/>
        <v>17972</v>
      </c>
      <c r="F105" s="47">
        <v>16298</v>
      </c>
      <c r="G105" s="47">
        <v>1674</v>
      </c>
      <c r="H105" s="47">
        <v>4750</v>
      </c>
      <c r="I105" s="47"/>
      <c r="J105" s="47">
        <v>8797</v>
      </c>
      <c r="K105" s="47"/>
      <c r="L105" s="47">
        <f t="shared" ref="L105:L163" si="5">M105+N105</f>
        <v>1464</v>
      </c>
      <c r="M105" s="47">
        <v>878</v>
      </c>
      <c r="N105" s="47">
        <v>586</v>
      </c>
      <c r="O105" s="47"/>
      <c r="P105" s="47"/>
      <c r="Q105" s="47">
        <f>31401+2763</f>
        <v>34164</v>
      </c>
      <c r="R105" s="47">
        <f>30833-1674</f>
        <v>29159</v>
      </c>
    </row>
    <row r="106" spans="1:18" s="89" customFormat="1" ht="12" x14ac:dyDescent="0.2">
      <c r="A106" s="46">
        <v>98</v>
      </c>
      <c r="B106" s="88" t="s">
        <v>206</v>
      </c>
      <c r="C106" s="47">
        <f t="shared" si="3"/>
        <v>48823</v>
      </c>
      <c r="D106" s="47"/>
      <c r="E106" s="47">
        <f t="shared" si="4"/>
        <v>10617</v>
      </c>
      <c r="F106" s="47">
        <v>9664</v>
      </c>
      <c r="G106" s="47">
        <f>809+144</f>
        <v>953</v>
      </c>
      <c r="H106" s="47">
        <v>2899</v>
      </c>
      <c r="I106" s="47"/>
      <c r="J106" s="47">
        <v>5000</v>
      </c>
      <c r="K106" s="47"/>
      <c r="L106" s="47"/>
      <c r="M106" s="47"/>
      <c r="N106" s="47"/>
      <c r="O106" s="47"/>
      <c r="P106" s="47"/>
      <c r="Q106" s="47">
        <f>14084+1411</f>
        <v>15495</v>
      </c>
      <c r="R106" s="47">
        <f>15621-809</f>
        <v>14812</v>
      </c>
    </row>
    <row r="107" spans="1:18" s="89" customFormat="1" ht="12" x14ac:dyDescent="0.2">
      <c r="A107" s="46">
        <v>99</v>
      </c>
      <c r="B107" s="88" t="s">
        <v>207</v>
      </c>
      <c r="C107" s="47">
        <f t="shared" si="3"/>
        <v>61422</v>
      </c>
      <c r="D107" s="47">
        <v>17135</v>
      </c>
      <c r="E107" s="47">
        <f t="shared" si="4"/>
        <v>11113</v>
      </c>
      <c r="F107" s="47">
        <v>10200</v>
      </c>
      <c r="G107" s="47">
        <v>913</v>
      </c>
      <c r="H107" s="47">
        <v>2550</v>
      </c>
      <c r="I107" s="47"/>
      <c r="J107" s="47">
        <v>4605</v>
      </c>
      <c r="K107" s="47"/>
      <c r="L107" s="47">
        <f t="shared" si="5"/>
        <v>1464</v>
      </c>
      <c r="M107" s="47">
        <v>1025</v>
      </c>
      <c r="N107" s="47">
        <v>439</v>
      </c>
      <c r="O107" s="47"/>
      <c r="P107" s="47"/>
      <c r="Q107" s="47">
        <f>5950+1586</f>
        <v>7536</v>
      </c>
      <c r="R107" s="47">
        <f>17932-913</f>
        <v>17019</v>
      </c>
    </row>
    <row r="108" spans="1:18" s="89" customFormat="1" ht="12" x14ac:dyDescent="0.2">
      <c r="A108" s="46">
        <v>100</v>
      </c>
      <c r="B108" s="88" t="s">
        <v>208</v>
      </c>
      <c r="C108" s="47">
        <f t="shared" si="3"/>
        <v>25887</v>
      </c>
      <c r="D108" s="47"/>
      <c r="E108" s="47">
        <f t="shared" si="4"/>
        <v>6662</v>
      </c>
      <c r="F108" s="47">
        <v>6112</v>
      </c>
      <c r="G108" s="47">
        <v>550</v>
      </c>
      <c r="H108" s="47">
        <v>1534</v>
      </c>
      <c r="I108" s="47"/>
      <c r="J108" s="47">
        <v>3109</v>
      </c>
      <c r="K108" s="47"/>
      <c r="L108" s="47"/>
      <c r="M108" s="47"/>
      <c r="N108" s="47"/>
      <c r="O108" s="47"/>
      <c r="P108" s="47"/>
      <c r="Q108" s="47">
        <f>2687+958</f>
        <v>3645</v>
      </c>
      <c r="R108" s="47">
        <f>11487-550</f>
        <v>10937</v>
      </c>
    </row>
    <row r="109" spans="1:18" s="89" customFormat="1" ht="12" x14ac:dyDescent="0.2">
      <c r="A109" s="46">
        <v>101</v>
      </c>
      <c r="B109" s="88" t="s">
        <v>209</v>
      </c>
      <c r="C109" s="47">
        <f t="shared" si="3"/>
        <v>101070</v>
      </c>
      <c r="D109" s="47"/>
      <c r="E109" s="47">
        <f t="shared" si="4"/>
        <v>20252</v>
      </c>
      <c r="F109" s="47">
        <v>18665</v>
      </c>
      <c r="G109" s="47">
        <v>1587</v>
      </c>
      <c r="H109" s="47">
        <v>5730</v>
      </c>
      <c r="I109" s="47"/>
      <c r="J109" s="47">
        <v>9009</v>
      </c>
      <c r="K109" s="47"/>
      <c r="L109" s="47">
        <f t="shared" si="5"/>
        <v>1464</v>
      </c>
      <c r="M109" s="47">
        <v>1200</v>
      </c>
      <c r="N109" s="47">
        <v>264</v>
      </c>
      <c r="O109" s="47"/>
      <c r="P109" s="47"/>
      <c r="Q109" s="47">
        <f>26217+2779</f>
        <v>28996</v>
      </c>
      <c r="R109" s="47">
        <f>37206-1587</f>
        <v>35619</v>
      </c>
    </row>
    <row r="110" spans="1:18" s="89" customFormat="1" ht="12" x14ac:dyDescent="0.2">
      <c r="A110" s="46">
        <v>102</v>
      </c>
      <c r="B110" s="88" t="s">
        <v>210</v>
      </c>
      <c r="C110" s="47">
        <f t="shared" si="3"/>
        <v>34069</v>
      </c>
      <c r="D110" s="47"/>
      <c r="E110" s="47">
        <f t="shared" si="4"/>
        <v>9039</v>
      </c>
      <c r="F110" s="47">
        <v>8300</v>
      </c>
      <c r="G110" s="47">
        <f>603+136</f>
        <v>739</v>
      </c>
      <c r="H110" s="47">
        <v>2075</v>
      </c>
      <c r="I110" s="47"/>
      <c r="J110" s="47">
        <v>4100</v>
      </c>
      <c r="K110" s="47"/>
      <c r="L110" s="47"/>
      <c r="M110" s="47"/>
      <c r="N110" s="47"/>
      <c r="O110" s="47"/>
      <c r="P110" s="47"/>
      <c r="Q110" s="47">
        <f>5316+1246</f>
        <v>6562</v>
      </c>
      <c r="R110" s="47">
        <f>12896-603</f>
        <v>12293</v>
      </c>
    </row>
    <row r="111" spans="1:18" s="89" customFormat="1" ht="12" x14ac:dyDescent="0.2">
      <c r="A111" s="46">
        <v>103</v>
      </c>
      <c r="B111" s="88" t="s">
        <v>211</v>
      </c>
      <c r="C111" s="47">
        <f t="shared" si="3"/>
        <v>35892</v>
      </c>
      <c r="D111" s="47"/>
      <c r="E111" s="47">
        <f t="shared" si="4"/>
        <v>8532</v>
      </c>
      <c r="F111" s="47">
        <f>6120+800+1000</f>
        <v>7920</v>
      </c>
      <c r="G111" s="47">
        <v>612</v>
      </c>
      <c r="H111" s="47">
        <v>1530</v>
      </c>
      <c r="I111" s="47"/>
      <c r="J111" s="47">
        <v>2500</v>
      </c>
      <c r="K111" s="47"/>
      <c r="L111" s="47"/>
      <c r="M111" s="47"/>
      <c r="N111" s="47"/>
      <c r="O111" s="47"/>
      <c r="P111" s="47"/>
      <c r="Q111" s="47">
        <f>7925+1830</f>
        <v>9755</v>
      </c>
      <c r="R111" s="47">
        <f>14187-612</f>
        <v>13575</v>
      </c>
    </row>
    <row r="112" spans="1:18" s="89" customFormat="1" ht="12" x14ac:dyDescent="0.2">
      <c r="A112" s="46">
        <v>104</v>
      </c>
      <c r="B112" s="88" t="s">
        <v>282</v>
      </c>
      <c r="C112" s="47">
        <f t="shared" si="3"/>
        <v>1795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>
        <v>1795</v>
      </c>
      <c r="Q112" s="47"/>
      <c r="R112" s="47"/>
    </row>
    <row r="113" spans="1:18" s="89" customFormat="1" ht="12" x14ac:dyDescent="0.2">
      <c r="A113" s="46">
        <v>105</v>
      </c>
      <c r="B113" s="88" t="s">
        <v>283</v>
      </c>
      <c r="C113" s="47">
        <f t="shared" si="3"/>
        <v>2071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>
        <v>2071</v>
      </c>
      <c r="Q113" s="47"/>
      <c r="R113" s="47"/>
    </row>
    <row r="114" spans="1:18" s="89" customFormat="1" ht="12" x14ac:dyDescent="0.2">
      <c r="A114" s="46">
        <v>106</v>
      </c>
      <c r="B114" s="88" t="s">
        <v>284</v>
      </c>
      <c r="C114" s="47">
        <f t="shared" si="3"/>
        <v>2283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>
        <v>2283</v>
      </c>
      <c r="Q114" s="47"/>
      <c r="R114" s="47"/>
    </row>
    <row r="115" spans="1:18" s="89" customFormat="1" ht="12" x14ac:dyDescent="0.2">
      <c r="A115" s="46">
        <v>107</v>
      </c>
      <c r="B115" s="88" t="s">
        <v>285</v>
      </c>
      <c r="C115" s="47">
        <f t="shared" si="3"/>
        <v>2058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>
        <v>2058</v>
      </c>
      <c r="Q115" s="47"/>
      <c r="R115" s="47"/>
    </row>
    <row r="116" spans="1:18" s="89" customFormat="1" ht="12" x14ac:dyDescent="0.2">
      <c r="A116" s="46">
        <v>108</v>
      </c>
      <c r="B116" s="88" t="s">
        <v>286</v>
      </c>
      <c r="C116" s="47">
        <f t="shared" si="3"/>
        <v>10200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>
        <v>10200</v>
      </c>
      <c r="Q116" s="47"/>
      <c r="R116" s="47"/>
    </row>
    <row r="117" spans="1:18" s="89" customFormat="1" ht="12" x14ac:dyDescent="0.2">
      <c r="A117" s="46">
        <v>109</v>
      </c>
      <c r="B117" s="88" t="s">
        <v>287</v>
      </c>
      <c r="C117" s="47">
        <f t="shared" si="3"/>
        <v>1848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>
        <v>1848</v>
      </c>
      <c r="Q117" s="47"/>
      <c r="R117" s="47"/>
    </row>
    <row r="118" spans="1:18" s="89" customFormat="1" ht="12" x14ac:dyDescent="0.2">
      <c r="A118" s="46">
        <v>110</v>
      </c>
      <c r="B118" s="88" t="s">
        <v>288</v>
      </c>
      <c r="C118" s="47">
        <f t="shared" si="3"/>
        <v>1554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>
        <v>1554</v>
      </c>
      <c r="Q118" s="47"/>
      <c r="R118" s="47"/>
    </row>
    <row r="119" spans="1:18" s="89" customFormat="1" ht="12" x14ac:dyDescent="0.2">
      <c r="A119" s="46">
        <v>111</v>
      </c>
      <c r="B119" s="88" t="s">
        <v>117</v>
      </c>
      <c r="C119" s="47">
        <f t="shared" si="3"/>
        <v>152369</v>
      </c>
      <c r="D119" s="47">
        <f>13512+793</f>
        <v>14305</v>
      </c>
      <c r="E119" s="47">
        <f t="shared" si="4"/>
        <v>11112</v>
      </c>
      <c r="F119" s="47">
        <v>10229</v>
      </c>
      <c r="G119" s="47">
        <v>883</v>
      </c>
      <c r="H119" s="47">
        <v>2662</v>
      </c>
      <c r="I119" s="47">
        <v>1599</v>
      </c>
      <c r="J119" s="47">
        <v>5500</v>
      </c>
      <c r="K119" s="47">
        <v>70627</v>
      </c>
      <c r="L119" s="47"/>
      <c r="M119" s="47"/>
      <c r="N119" s="47"/>
      <c r="O119" s="47"/>
      <c r="P119" s="47"/>
      <c r="Q119" s="47">
        <f>17450+2211</f>
        <v>19661</v>
      </c>
      <c r="R119" s="47">
        <f>27786-883</f>
        <v>26903</v>
      </c>
    </row>
    <row r="120" spans="1:18" s="89" customFormat="1" ht="12" x14ac:dyDescent="0.2">
      <c r="A120" s="46">
        <v>112</v>
      </c>
      <c r="B120" s="88" t="s">
        <v>118</v>
      </c>
      <c r="C120" s="47">
        <f t="shared" si="3"/>
        <v>62299</v>
      </c>
      <c r="D120" s="47"/>
      <c r="E120" s="47">
        <f t="shared" si="4"/>
        <v>11267</v>
      </c>
      <c r="F120" s="47">
        <v>10313</v>
      </c>
      <c r="G120" s="47">
        <v>954</v>
      </c>
      <c r="H120" s="47">
        <v>1800</v>
      </c>
      <c r="I120" s="47"/>
      <c r="J120" s="47">
        <v>6226</v>
      </c>
      <c r="K120" s="47"/>
      <c r="L120" s="47">
        <f t="shared" si="5"/>
        <v>1464</v>
      </c>
      <c r="M120" s="47">
        <v>1014</v>
      </c>
      <c r="N120" s="47">
        <v>450</v>
      </c>
      <c r="O120" s="47"/>
      <c r="P120" s="47"/>
      <c r="Q120" s="47">
        <f>22103+1577</f>
        <v>23680</v>
      </c>
      <c r="R120" s="47">
        <f>18816-954</f>
        <v>17862</v>
      </c>
    </row>
    <row r="121" spans="1:18" s="89" customFormat="1" ht="12" x14ac:dyDescent="0.2">
      <c r="A121" s="46">
        <v>113</v>
      </c>
      <c r="B121" s="88" t="s">
        <v>119</v>
      </c>
      <c r="C121" s="47">
        <f t="shared" si="3"/>
        <v>49439</v>
      </c>
      <c r="D121" s="47"/>
      <c r="E121" s="47">
        <f t="shared" si="4"/>
        <v>9426</v>
      </c>
      <c r="F121" s="47">
        <v>8650</v>
      </c>
      <c r="G121" s="47">
        <v>776</v>
      </c>
      <c r="H121" s="47">
        <v>2510</v>
      </c>
      <c r="I121" s="47"/>
      <c r="J121" s="47">
        <v>4642</v>
      </c>
      <c r="K121" s="47"/>
      <c r="L121" s="47"/>
      <c r="M121" s="47"/>
      <c r="N121" s="47"/>
      <c r="O121" s="47"/>
      <c r="P121" s="47"/>
      <c r="Q121" s="47">
        <f>10600+1361</f>
        <v>11961</v>
      </c>
      <c r="R121" s="47">
        <f>21676-776</f>
        <v>20900</v>
      </c>
    </row>
    <row r="122" spans="1:18" s="89" customFormat="1" ht="12" x14ac:dyDescent="0.2">
      <c r="A122" s="46">
        <v>114</v>
      </c>
      <c r="B122" s="88" t="s">
        <v>120</v>
      </c>
      <c r="C122" s="47">
        <f t="shared" si="3"/>
        <v>26307</v>
      </c>
      <c r="D122" s="47"/>
      <c r="E122" s="47">
        <f t="shared" si="4"/>
        <v>4983</v>
      </c>
      <c r="F122" s="47">
        <v>4500</v>
      </c>
      <c r="G122" s="47">
        <f>433+50</f>
        <v>483</v>
      </c>
      <c r="H122" s="47">
        <v>1367</v>
      </c>
      <c r="I122" s="47"/>
      <c r="J122" s="47">
        <v>2050</v>
      </c>
      <c r="K122" s="47"/>
      <c r="L122" s="47"/>
      <c r="M122" s="47"/>
      <c r="N122" s="47"/>
      <c r="O122" s="47"/>
      <c r="P122" s="47"/>
      <c r="Q122" s="47">
        <f>7085+748</f>
        <v>7833</v>
      </c>
      <c r="R122" s="47">
        <f>10507-433</f>
        <v>10074</v>
      </c>
    </row>
    <row r="123" spans="1:18" s="89" customFormat="1" ht="12" x14ac:dyDescent="0.2">
      <c r="A123" s="46">
        <v>115</v>
      </c>
      <c r="B123" s="88" t="s">
        <v>121</v>
      </c>
      <c r="C123" s="47">
        <f t="shared" si="3"/>
        <v>27214</v>
      </c>
      <c r="D123" s="47">
        <v>16875</v>
      </c>
      <c r="E123" s="47">
        <f t="shared" si="4"/>
        <v>1704</v>
      </c>
      <c r="F123" s="47">
        <v>1530</v>
      </c>
      <c r="G123" s="47">
        <v>174</v>
      </c>
      <c r="H123" s="47">
        <v>346</v>
      </c>
      <c r="I123" s="47"/>
      <c r="J123" s="47">
        <v>1020</v>
      </c>
      <c r="K123" s="47"/>
      <c r="L123" s="47">
        <f t="shared" si="5"/>
        <v>1464</v>
      </c>
      <c r="M123" s="47">
        <v>882</v>
      </c>
      <c r="N123" s="47">
        <v>582</v>
      </c>
      <c r="O123" s="47"/>
      <c r="P123" s="47"/>
      <c r="Q123" s="47">
        <v>322</v>
      </c>
      <c r="R123" s="47">
        <f>5657-174</f>
        <v>5483</v>
      </c>
    </row>
    <row r="124" spans="1:18" s="89" customFormat="1" ht="12" x14ac:dyDescent="0.2">
      <c r="A124" s="46">
        <v>116</v>
      </c>
      <c r="B124" s="88" t="s">
        <v>122</v>
      </c>
      <c r="C124" s="47">
        <f t="shared" si="3"/>
        <v>22337</v>
      </c>
      <c r="D124" s="47"/>
      <c r="E124" s="47">
        <f t="shared" si="4"/>
        <v>4590</v>
      </c>
      <c r="F124" s="47">
        <v>4200</v>
      </c>
      <c r="G124" s="47">
        <v>390</v>
      </c>
      <c r="H124" s="47">
        <v>934</v>
      </c>
      <c r="I124" s="47"/>
      <c r="J124" s="47">
        <v>1876</v>
      </c>
      <c r="K124" s="47"/>
      <c r="L124" s="47"/>
      <c r="M124" s="47"/>
      <c r="N124" s="47"/>
      <c r="O124" s="47"/>
      <c r="P124" s="47"/>
      <c r="Q124" s="47">
        <f>6202+641</f>
        <v>6843</v>
      </c>
      <c r="R124" s="47">
        <f>8484-390</f>
        <v>8094</v>
      </c>
    </row>
    <row r="125" spans="1:18" s="89" customFormat="1" ht="12" x14ac:dyDescent="0.2">
      <c r="A125" s="46">
        <v>117</v>
      </c>
      <c r="B125" s="88" t="s">
        <v>123</v>
      </c>
      <c r="C125" s="47">
        <f t="shared" si="3"/>
        <v>145764</v>
      </c>
      <c r="D125" s="47"/>
      <c r="E125" s="47">
        <f t="shared" si="4"/>
        <v>28393</v>
      </c>
      <c r="F125" s="47">
        <v>25995</v>
      </c>
      <c r="G125" s="47">
        <v>2398</v>
      </c>
      <c r="H125" s="47">
        <v>6791</v>
      </c>
      <c r="I125" s="47"/>
      <c r="J125" s="47">
        <v>12000</v>
      </c>
      <c r="K125" s="47"/>
      <c r="L125" s="47">
        <f t="shared" si="5"/>
        <v>4148</v>
      </c>
      <c r="M125" s="47">
        <f>2428+732</f>
        <v>3160</v>
      </c>
      <c r="N125" s="47">
        <f>500+488</f>
        <v>988</v>
      </c>
      <c r="O125" s="47"/>
      <c r="P125" s="47"/>
      <c r="Q125" s="47">
        <f>40508+4111</f>
        <v>44619</v>
      </c>
      <c r="R125" s="47">
        <f>52211-2398</f>
        <v>49813</v>
      </c>
    </row>
    <row r="126" spans="1:18" s="89" customFormat="1" ht="12" x14ac:dyDescent="0.2">
      <c r="A126" s="46">
        <v>118</v>
      </c>
      <c r="B126" s="88" t="s">
        <v>124</v>
      </c>
      <c r="C126" s="47">
        <f t="shared" si="3"/>
        <v>157481</v>
      </c>
      <c r="D126" s="47">
        <v>9275</v>
      </c>
      <c r="E126" s="47"/>
      <c r="F126" s="47"/>
      <c r="G126" s="47"/>
      <c r="H126" s="47"/>
      <c r="I126" s="47">
        <v>4998</v>
      </c>
      <c r="J126" s="47"/>
      <c r="K126" s="47">
        <v>134371</v>
      </c>
      <c r="L126" s="47"/>
      <c r="M126" s="47"/>
      <c r="N126" s="47"/>
      <c r="O126" s="47"/>
      <c r="P126" s="47"/>
      <c r="Q126" s="47">
        <f>3000+1131</f>
        <v>4131</v>
      </c>
      <c r="R126" s="47">
        <v>4706</v>
      </c>
    </row>
    <row r="127" spans="1:18" s="89" customFormat="1" ht="12" x14ac:dyDescent="0.2">
      <c r="A127" s="46">
        <v>119</v>
      </c>
      <c r="B127" s="88" t="s">
        <v>125</v>
      </c>
      <c r="C127" s="47">
        <f t="shared" si="3"/>
        <v>73588</v>
      </c>
      <c r="D127" s="47">
        <v>18099</v>
      </c>
      <c r="E127" s="47">
        <f t="shared" si="4"/>
        <v>8904</v>
      </c>
      <c r="F127" s="47">
        <f>7230+1000</f>
        <v>8230</v>
      </c>
      <c r="G127" s="47">
        <v>674</v>
      </c>
      <c r="H127" s="47">
        <v>1388</v>
      </c>
      <c r="I127" s="47"/>
      <c r="J127" s="47">
        <v>3360</v>
      </c>
      <c r="K127" s="47"/>
      <c r="L127" s="47"/>
      <c r="M127" s="47"/>
      <c r="N127" s="47"/>
      <c r="O127" s="47"/>
      <c r="P127" s="47"/>
      <c r="Q127" s="47">
        <f>12262+1547</f>
        <v>13809</v>
      </c>
      <c r="R127" s="47">
        <f>28702-674</f>
        <v>28028</v>
      </c>
    </row>
    <row r="128" spans="1:18" s="89" customFormat="1" ht="12" x14ac:dyDescent="0.2">
      <c r="A128" s="46">
        <v>120</v>
      </c>
      <c r="B128" s="88" t="s">
        <v>126</v>
      </c>
      <c r="C128" s="47">
        <f t="shared" si="3"/>
        <v>36640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>
        <v>36640</v>
      </c>
      <c r="Q128" s="47"/>
      <c r="R128" s="47"/>
    </row>
    <row r="129" spans="1:18" s="89" customFormat="1" ht="12" x14ac:dyDescent="0.2">
      <c r="A129" s="46">
        <v>121</v>
      </c>
      <c r="B129" s="88" t="s">
        <v>127</v>
      </c>
      <c r="C129" s="47">
        <f t="shared" si="3"/>
        <v>99838</v>
      </c>
      <c r="D129" s="47"/>
      <c r="E129" s="47">
        <f t="shared" si="4"/>
        <v>7545</v>
      </c>
      <c r="F129" s="47">
        <v>6800</v>
      </c>
      <c r="G129" s="47">
        <v>745</v>
      </c>
      <c r="H129" s="47">
        <v>1421</v>
      </c>
      <c r="I129" s="47">
        <v>1595</v>
      </c>
      <c r="J129" s="47">
        <v>3600</v>
      </c>
      <c r="K129" s="47">
        <v>46730</v>
      </c>
      <c r="L129" s="47"/>
      <c r="M129" s="47"/>
      <c r="N129" s="47"/>
      <c r="O129" s="47"/>
      <c r="P129" s="47"/>
      <c r="Q129" s="47">
        <f>13304+1769</f>
        <v>15073</v>
      </c>
      <c r="R129" s="47">
        <f>24619-745</f>
        <v>23874</v>
      </c>
    </row>
    <row r="130" spans="1:18" s="89" customFormat="1" ht="12" x14ac:dyDescent="0.2">
      <c r="A130" s="46">
        <v>122</v>
      </c>
      <c r="B130" s="88" t="s">
        <v>128</v>
      </c>
      <c r="C130" s="47">
        <f t="shared" si="3"/>
        <v>39563</v>
      </c>
      <c r="D130" s="47"/>
      <c r="E130" s="47">
        <f t="shared" si="4"/>
        <v>3836</v>
      </c>
      <c r="F130" s="47">
        <v>3629</v>
      </c>
      <c r="G130" s="47">
        <f>295-88</f>
        <v>207</v>
      </c>
      <c r="H130" s="47">
        <v>910</v>
      </c>
      <c r="I130" s="47">
        <v>861</v>
      </c>
      <c r="J130" s="47">
        <v>1298</v>
      </c>
      <c r="K130" s="47">
        <v>12050</v>
      </c>
      <c r="L130" s="47"/>
      <c r="M130" s="47"/>
      <c r="N130" s="47"/>
      <c r="O130" s="47"/>
      <c r="P130" s="47"/>
      <c r="Q130" s="47">
        <f>4823+699</f>
        <v>5522</v>
      </c>
      <c r="R130" s="47">
        <f>15381-295</f>
        <v>15086</v>
      </c>
    </row>
    <row r="131" spans="1:18" s="89" customFormat="1" ht="12" x14ac:dyDescent="0.2">
      <c r="A131" s="46">
        <v>123</v>
      </c>
      <c r="B131" s="88" t="s">
        <v>129</v>
      </c>
      <c r="C131" s="47">
        <f t="shared" si="3"/>
        <v>58053</v>
      </c>
      <c r="D131" s="47"/>
      <c r="E131" s="47">
        <f t="shared" si="4"/>
        <v>6063</v>
      </c>
      <c r="F131" s="47">
        <v>5547</v>
      </c>
      <c r="G131" s="47">
        <v>516</v>
      </c>
      <c r="H131" s="47">
        <v>1664</v>
      </c>
      <c r="I131" s="47">
        <v>701</v>
      </c>
      <c r="J131" s="47">
        <v>2096</v>
      </c>
      <c r="K131" s="47">
        <v>20050</v>
      </c>
      <c r="L131" s="47"/>
      <c r="M131" s="47"/>
      <c r="N131" s="47"/>
      <c r="O131" s="47"/>
      <c r="P131" s="47"/>
      <c r="Q131" s="47">
        <f>10280+1025</f>
        <v>11305</v>
      </c>
      <c r="R131" s="47">
        <f>16690-516</f>
        <v>16174</v>
      </c>
    </row>
    <row r="132" spans="1:18" s="89" customFormat="1" ht="12" x14ac:dyDescent="0.2">
      <c r="A132" s="46">
        <v>124</v>
      </c>
      <c r="B132" s="88" t="s">
        <v>130</v>
      </c>
      <c r="C132" s="47">
        <f t="shared" si="3"/>
        <v>102638</v>
      </c>
      <c r="D132" s="47"/>
      <c r="E132" s="47">
        <f t="shared" si="4"/>
        <v>9558</v>
      </c>
      <c r="F132" s="47">
        <v>8852</v>
      </c>
      <c r="G132" s="47">
        <f>770-64</f>
        <v>706</v>
      </c>
      <c r="H132" s="47">
        <v>2213</v>
      </c>
      <c r="I132" s="47">
        <v>941</v>
      </c>
      <c r="J132" s="47">
        <v>3216</v>
      </c>
      <c r="K132" s="47">
        <v>53390</v>
      </c>
      <c r="L132" s="47"/>
      <c r="M132" s="47"/>
      <c r="N132" s="47"/>
      <c r="O132" s="47"/>
      <c r="P132" s="47"/>
      <c r="Q132" s="47">
        <f>6963+1812</f>
        <v>8775</v>
      </c>
      <c r="R132" s="47">
        <f>25315-770</f>
        <v>24545</v>
      </c>
    </row>
    <row r="133" spans="1:18" s="89" customFormat="1" ht="12" x14ac:dyDescent="0.2">
      <c r="A133" s="46">
        <v>125</v>
      </c>
      <c r="B133" s="88" t="s">
        <v>131</v>
      </c>
      <c r="C133" s="47">
        <f t="shared" si="3"/>
        <v>97557</v>
      </c>
      <c r="D133" s="47"/>
      <c r="E133" s="47">
        <f t="shared" si="4"/>
        <v>8293</v>
      </c>
      <c r="F133" s="47">
        <v>7560</v>
      </c>
      <c r="G133" s="47">
        <v>733</v>
      </c>
      <c r="H133" s="47">
        <v>2233</v>
      </c>
      <c r="I133" s="47">
        <v>440</v>
      </c>
      <c r="J133" s="47">
        <v>3383</v>
      </c>
      <c r="K133" s="47">
        <v>24628</v>
      </c>
      <c r="L133" s="47"/>
      <c r="M133" s="47"/>
      <c r="N133" s="47"/>
      <c r="O133" s="47"/>
      <c r="P133" s="47"/>
      <c r="Q133" s="47">
        <f>19565+1721</f>
        <v>21286</v>
      </c>
      <c r="R133" s="47">
        <f>38027-733</f>
        <v>37294</v>
      </c>
    </row>
    <row r="134" spans="1:18" s="89" customFormat="1" ht="12" x14ac:dyDescent="0.2">
      <c r="A134" s="46">
        <v>126</v>
      </c>
      <c r="B134" s="88" t="s">
        <v>132</v>
      </c>
      <c r="C134" s="47">
        <f t="shared" si="3"/>
        <v>57246</v>
      </c>
      <c r="D134" s="47"/>
      <c r="E134" s="47">
        <f t="shared" si="4"/>
        <v>5778</v>
      </c>
      <c r="F134" s="47">
        <v>5340</v>
      </c>
      <c r="G134" s="47">
        <v>438</v>
      </c>
      <c r="H134" s="47">
        <v>1391</v>
      </c>
      <c r="I134" s="47">
        <v>673</v>
      </c>
      <c r="J134" s="47">
        <v>1800</v>
      </c>
      <c r="K134" s="47">
        <v>22635</v>
      </c>
      <c r="L134" s="47"/>
      <c r="M134" s="47"/>
      <c r="N134" s="47"/>
      <c r="O134" s="47"/>
      <c r="P134" s="47"/>
      <c r="Q134" s="47">
        <f>6669+1012</f>
        <v>7681</v>
      </c>
      <c r="R134" s="47">
        <f>17726-438</f>
        <v>17288</v>
      </c>
    </row>
    <row r="135" spans="1:18" s="89" customFormat="1" ht="12" x14ac:dyDescent="0.2">
      <c r="A135" s="46">
        <v>127</v>
      </c>
      <c r="B135" s="88" t="s">
        <v>133</v>
      </c>
      <c r="C135" s="47">
        <f t="shared" si="3"/>
        <v>43313</v>
      </c>
      <c r="D135" s="47"/>
      <c r="E135" s="47">
        <f t="shared" si="4"/>
        <v>4258</v>
      </c>
      <c r="F135" s="47">
        <v>3946</v>
      </c>
      <c r="G135" s="47">
        <v>312</v>
      </c>
      <c r="H135" s="47">
        <v>1184</v>
      </c>
      <c r="I135" s="47">
        <v>1016</v>
      </c>
      <c r="J135" s="47">
        <v>1439</v>
      </c>
      <c r="K135" s="47">
        <v>18530</v>
      </c>
      <c r="L135" s="47"/>
      <c r="M135" s="47"/>
      <c r="N135" s="47"/>
      <c r="O135" s="47"/>
      <c r="P135" s="47"/>
      <c r="Q135" s="47">
        <f>9981+764</f>
        <v>10745</v>
      </c>
      <c r="R135" s="47">
        <f>6453-312</f>
        <v>6141</v>
      </c>
    </row>
    <row r="136" spans="1:18" s="89" customFormat="1" ht="12" x14ac:dyDescent="0.2">
      <c r="A136" s="46">
        <v>128</v>
      </c>
      <c r="B136" s="88" t="s">
        <v>134</v>
      </c>
      <c r="C136" s="47">
        <f t="shared" si="3"/>
        <v>61648</v>
      </c>
      <c r="D136" s="47"/>
      <c r="E136" s="47">
        <f t="shared" si="4"/>
        <v>6353</v>
      </c>
      <c r="F136" s="47">
        <v>5792</v>
      </c>
      <c r="G136" s="47">
        <f>501+60</f>
        <v>561</v>
      </c>
      <c r="H136" s="47">
        <v>1621</v>
      </c>
      <c r="I136" s="47">
        <v>771</v>
      </c>
      <c r="J136" s="47">
        <v>2155</v>
      </c>
      <c r="K136" s="47">
        <v>25736</v>
      </c>
      <c r="L136" s="47"/>
      <c r="M136" s="47"/>
      <c r="N136" s="47"/>
      <c r="O136" s="47"/>
      <c r="P136" s="47"/>
      <c r="Q136" s="47">
        <f>7759+1087</f>
        <v>8846</v>
      </c>
      <c r="R136" s="47">
        <f>16667-501</f>
        <v>16166</v>
      </c>
    </row>
    <row r="137" spans="1:18" s="89" customFormat="1" ht="12" x14ac:dyDescent="0.2">
      <c r="A137" s="46">
        <v>129</v>
      </c>
      <c r="B137" s="88" t="s">
        <v>135</v>
      </c>
      <c r="C137" s="47">
        <f t="shared" si="3"/>
        <v>104804</v>
      </c>
      <c r="D137" s="47"/>
      <c r="E137" s="47">
        <f t="shared" si="4"/>
        <v>10290</v>
      </c>
      <c r="F137" s="47">
        <v>9475</v>
      </c>
      <c r="G137" s="47">
        <v>815</v>
      </c>
      <c r="H137" s="47">
        <v>2370</v>
      </c>
      <c r="I137" s="47">
        <v>671</v>
      </c>
      <c r="J137" s="47">
        <v>3670</v>
      </c>
      <c r="K137" s="47">
        <v>42384</v>
      </c>
      <c r="L137" s="47"/>
      <c r="M137" s="47"/>
      <c r="N137" s="47"/>
      <c r="O137" s="47"/>
      <c r="P137" s="47"/>
      <c r="Q137" s="47">
        <f>17916+1851</f>
        <v>19767</v>
      </c>
      <c r="R137" s="47">
        <f>26467-815</f>
        <v>25652</v>
      </c>
    </row>
    <row r="138" spans="1:18" s="89" customFormat="1" ht="12" x14ac:dyDescent="0.2">
      <c r="A138" s="46">
        <v>130</v>
      </c>
      <c r="B138" s="88" t="s">
        <v>136</v>
      </c>
      <c r="C138" s="47">
        <f t="shared" ref="C138:C167" si="6">D138+E138+H138+I138+J138+K138+L138+O138+P138+Q138+R138</f>
        <v>49399</v>
      </c>
      <c r="D138" s="47"/>
      <c r="E138" s="47">
        <f t="shared" ref="E138:E166" si="7">F138+G138</f>
        <v>4875</v>
      </c>
      <c r="F138" s="47">
        <v>4500</v>
      </c>
      <c r="G138" s="47">
        <v>375</v>
      </c>
      <c r="H138" s="47">
        <v>1125</v>
      </c>
      <c r="I138" s="47">
        <v>925</v>
      </c>
      <c r="J138" s="47">
        <v>1709</v>
      </c>
      <c r="K138" s="47">
        <v>18347</v>
      </c>
      <c r="L138" s="47"/>
      <c r="M138" s="47"/>
      <c r="N138" s="47"/>
      <c r="O138" s="47"/>
      <c r="P138" s="47"/>
      <c r="Q138" s="47">
        <f>5977+872</f>
        <v>6849</v>
      </c>
      <c r="R138" s="47">
        <f>15944-375</f>
        <v>15569</v>
      </c>
    </row>
    <row r="139" spans="1:18" s="89" customFormat="1" ht="12" customHeight="1" x14ac:dyDescent="0.2">
      <c r="A139" s="46">
        <v>131</v>
      </c>
      <c r="B139" s="48" t="s">
        <v>289</v>
      </c>
      <c r="C139" s="47">
        <f t="shared" si="6"/>
        <v>0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>
        <f>200-200</f>
        <v>0</v>
      </c>
      <c r="Q139" s="47"/>
      <c r="R139" s="47"/>
    </row>
    <row r="140" spans="1:18" s="89" customFormat="1" ht="36" x14ac:dyDescent="0.2">
      <c r="A140" s="46">
        <v>132</v>
      </c>
      <c r="B140" s="48" t="s">
        <v>137</v>
      </c>
      <c r="C140" s="47">
        <f t="shared" si="6"/>
        <v>29039</v>
      </c>
      <c r="D140" s="47"/>
      <c r="E140" s="47">
        <f t="shared" si="7"/>
        <v>4143</v>
      </c>
      <c r="F140" s="47">
        <f>7024-3275</f>
        <v>3749</v>
      </c>
      <c r="G140" s="47">
        <v>394</v>
      </c>
      <c r="H140" s="47">
        <v>2077</v>
      </c>
      <c r="I140" s="47"/>
      <c r="J140" s="47">
        <v>1200</v>
      </c>
      <c r="K140" s="47"/>
      <c r="L140" s="47">
        <f t="shared" si="5"/>
        <v>3172</v>
      </c>
      <c r="M140" s="47">
        <f>2635-732</f>
        <v>1903</v>
      </c>
      <c r="N140" s="47">
        <f>1757-488</f>
        <v>1269</v>
      </c>
      <c r="O140" s="47"/>
      <c r="P140" s="47"/>
      <c r="Q140" s="47">
        <f>3159</f>
        <v>3159</v>
      </c>
      <c r="R140" s="47">
        <f>15682-394</f>
        <v>15288</v>
      </c>
    </row>
    <row r="141" spans="1:18" s="89" customFormat="1" ht="12" x14ac:dyDescent="0.2">
      <c r="A141" s="46">
        <v>133</v>
      </c>
      <c r="B141" s="88" t="s">
        <v>42</v>
      </c>
      <c r="C141" s="47">
        <f t="shared" si="6"/>
        <v>14666</v>
      </c>
      <c r="D141" s="47"/>
      <c r="E141" s="47">
        <f t="shared" si="7"/>
        <v>1147</v>
      </c>
      <c r="F141" s="47">
        <v>1130</v>
      </c>
      <c r="G141" s="47">
        <v>17</v>
      </c>
      <c r="H141" s="47"/>
      <c r="I141" s="47"/>
      <c r="J141" s="47">
        <v>50</v>
      </c>
      <c r="K141" s="47"/>
      <c r="L141" s="47"/>
      <c r="M141" s="47"/>
      <c r="N141" s="47"/>
      <c r="O141" s="47">
        <v>5787</v>
      </c>
      <c r="P141" s="47"/>
      <c r="Q141" s="47">
        <f>446</f>
        <v>446</v>
      </c>
      <c r="R141" s="47">
        <f>7253-17</f>
        <v>7236</v>
      </c>
    </row>
    <row r="142" spans="1:18" s="89" customFormat="1" ht="24" x14ac:dyDescent="0.2">
      <c r="A142" s="46">
        <v>134</v>
      </c>
      <c r="B142" s="48" t="s">
        <v>290</v>
      </c>
      <c r="C142" s="47">
        <f t="shared" si="6"/>
        <v>3000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>
        <v>3000</v>
      </c>
      <c r="Q142" s="47"/>
      <c r="R142" s="47"/>
    </row>
    <row r="143" spans="1:18" s="89" customFormat="1" ht="12" x14ac:dyDescent="0.2">
      <c r="A143" s="46">
        <v>135</v>
      </c>
      <c r="B143" s="88" t="s">
        <v>212</v>
      </c>
      <c r="C143" s="47">
        <f t="shared" si="6"/>
        <v>6252</v>
      </c>
      <c r="D143" s="47"/>
      <c r="E143" s="47">
        <f t="shared" si="7"/>
        <v>1756</v>
      </c>
      <c r="F143" s="47">
        <v>1600</v>
      </c>
      <c r="G143" s="47">
        <v>156</v>
      </c>
      <c r="H143" s="47"/>
      <c r="I143" s="47"/>
      <c r="J143" s="47">
        <v>1000</v>
      </c>
      <c r="K143" s="47"/>
      <c r="L143" s="47"/>
      <c r="M143" s="47"/>
      <c r="N143" s="47"/>
      <c r="O143" s="47"/>
      <c r="P143" s="47"/>
      <c r="Q143" s="47">
        <f>800</f>
        <v>800</v>
      </c>
      <c r="R143" s="47">
        <f>2852-156</f>
        <v>2696</v>
      </c>
    </row>
    <row r="144" spans="1:18" s="89" customFormat="1" ht="12.75" customHeight="1" x14ac:dyDescent="0.2">
      <c r="A144" s="46">
        <v>136</v>
      </c>
      <c r="B144" s="48" t="s">
        <v>138</v>
      </c>
      <c r="C144" s="47">
        <f t="shared" si="6"/>
        <v>8000</v>
      </c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>
        <v>8000</v>
      </c>
      <c r="Q144" s="47"/>
      <c r="R144" s="47"/>
    </row>
    <row r="145" spans="1:18" s="89" customFormat="1" ht="12" x14ac:dyDescent="0.2">
      <c r="A145" s="46">
        <v>137</v>
      </c>
      <c r="B145" s="88" t="s">
        <v>291</v>
      </c>
      <c r="C145" s="47">
        <f t="shared" si="6"/>
        <v>200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>
        <v>200</v>
      </c>
      <c r="Q145" s="47"/>
      <c r="R145" s="47"/>
    </row>
    <row r="146" spans="1:18" s="89" customFormat="1" ht="12" x14ac:dyDescent="0.2">
      <c r="A146" s="46">
        <v>138</v>
      </c>
      <c r="B146" s="88" t="s">
        <v>292</v>
      </c>
      <c r="C146" s="47">
        <f t="shared" si="6"/>
        <v>200</v>
      </c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>
        <v>200</v>
      </c>
      <c r="Q146" s="47"/>
      <c r="R146" s="47"/>
    </row>
    <row r="147" spans="1:18" s="89" customFormat="1" ht="12" x14ac:dyDescent="0.2">
      <c r="A147" s="46">
        <v>139</v>
      </c>
      <c r="B147" s="88" t="s">
        <v>293</v>
      </c>
      <c r="C147" s="47">
        <f t="shared" si="6"/>
        <v>200</v>
      </c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>
        <v>200</v>
      </c>
      <c r="Q147" s="47"/>
      <c r="R147" s="47"/>
    </row>
    <row r="148" spans="1:18" s="89" customFormat="1" ht="12" x14ac:dyDescent="0.2">
      <c r="A148" s="46">
        <v>140</v>
      </c>
      <c r="B148" s="88" t="s">
        <v>218</v>
      </c>
      <c r="C148" s="47">
        <f t="shared" si="6"/>
        <v>200</v>
      </c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>
        <v>200</v>
      </c>
      <c r="Q148" s="47"/>
      <c r="R148" s="47"/>
    </row>
    <row r="149" spans="1:18" s="89" customFormat="1" ht="12" x14ac:dyDescent="0.2">
      <c r="A149" s="46">
        <v>141</v>
      </c>
      <c r="B149" s="88" t="s">
        <v>294</v>
      </c>
      <c r="C149" s="47">
        <f t="shared" si="6"/>
        <v>0</v>
      </c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>
        <f>200-200</f>
        <v>0</v>
      </c>
      <c r="Q149" s="47"/>
      <c r="R149" s="47"/>
    </row>
    <row r="150" spans="1:18" s="89" customFormat="1" ht="12" x14ac:dyDescent="0.2">
      <c r="A150" s="46">
        <v>142</v>
      </c>
      <c r="B150" s="94" t="s">
        <v>295</v>
      </c>
      <c r="C150" s="47">
        <f t="shared" si="6"/>
        <v>400</v>
      </c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>
        <v>400</v>
      </c>
      <c r="Q150" s="47"/>
      <c r="R150" s="47"/>
    </row>
    <row r="151" spans="1:18" s="89" customFormat="1" ht="12" x14ac:dyDescent="0.2">
      <c r="A151" s="46">
        <v>143</v>
      </c>
      <c r="B151" s="88" t="s">
        <v>296</v>
      </c>
      <c r="C151" s="47">
        <f t="shared" si="6"/>
        <v>120</v>
      </c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>
        <v>120</v>
      </c>
      <c r="Q151" s="47"/>
      <c r="R151" s="47"/>
    </row>
    <row r="152" spans="1:18" s="89" customFormat="1" ht="12" x14ac:dyDescent="0.2">
      <c r="A152" s="46">
        <v>144</v>
      </c>
      <c r="B152" s="88" t="s">
        <v>297</v>
      </c>
      <c r="C152" s="47">
        <f t="shared" si="6"/>
        <v>200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>
        <v>200</v>
      </c>
      <c r="Q152" s="47"/>
      <c r="R152" s="47"/>
    </row>
    <row r="153" spans="1:18" s="89" customFormat="1" ht="12" x14ac:dyDescent="0.2">
      <c r="A153" s="46">
        <v>145</v>
      </c>
      <c r="B153" s="88" t="s">
        <v>221</v>
      </c>
      <c r="C153" s="47">
        <f t="shared" si="6"/>
        <v>224680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>
        <f>220000+680+4000</f>
        <v>224680</v>
      </c>
      <c r="P153" s="47"/>
      <c r="Q153" s="47"/>
      <c r="R153" s="47"/>
    </row>
    <row r="154" spans="1:18" s="89" customFormat="1" ht="12" x14ac:dyDescent="0.2">
      <c r="A154" s="46">
        <v>146</v>
      </c>
      <c r="B154" s="88" t="s">
        <v>40</v>
      </c>
      <c r="C154" s="47">
        <f t="shared" si="6"/>
        <v>119000</v>
      </c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>
        <v>119000</v>
      </c>
      <c r="P154" s="47"/>
      <c r="Q154" s="47"/>
      <c r="R154" s="47"/>
    </row>
    <row r="155" spans="1:18" s="89" customFormat="1" ht="12" x14ac:dyDescent="0.2">
      <c r="A155" s="46">
        <v>147</v>
      </c>
      <c r="B155" s="88" t="s">
        <v>11</v>
      </c>
      <c r="C155" s="47">
        <f t="shared" si="6"/>
        <v>77766</v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>
        <f>73000+4000+766</f>
        <v>77766</v>
      </c>
      <c r="P155" s="47"/>
      <c r="Q155" s="47"/>
      <c r="R155" s="47"/>
    </row>
    <row r="156" spans="1:18" s="89" customFormat="1" ht="12" x14ac:dyDescent="0.2">
      <c r="A156" s="46">
        <v>148</v>
      </c>
      <c r="B156" s="88" t="s">
        <v>298</v>
      </c>
      <c r="C156" s="47">
        <f t="shared" si="6"/>
        <v>2000</v>
      </c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>
        <v>2000</v>
      </c>
      <c r="P156" s="47"/>
      <c r="Q156" s="47"/>
      <c r="R156" s="47"/>
    </row>
    <row r="157" spans="1:18" s="89" customFormat="1" ht="12" x14ac:dyDescent="0.2">
      <c r="A157" s="46">
        <v>149</v>
      </c>
      <c r="B157" s="88" t="s">
        <v>143</v>
      </c>
      <c r="C157" s="47">
        <f t="shared" si="6"/>
        <v>6500</v>
      </c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>
        <v>6500</v>
      </c>
      <c r="P157" s="47"/>
      <c r="Q157" s="47"/>
      <c r="R157" s="47"/>
    </row>
    <row r="158" spans="1:18" s="89" customFormat="1" ht="12" x14ac:dyDescent="0.2">
      <c r="A158" s="46">
        <v>150</v>
      </c>
      <c r="B158" s="88" t="s">
        <v>144</v>
      </c>
      <c r="C158" s="47">
        <f t="shared" si="6"/>
        <v>56502</v>
      </c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>
        <v>56502</v>
      </c>
      <c r="P158" s="47"/>
      <c r="Q158" s="47"/>
      <c r="R158" s="47"/>
    </row>
    <row r="159" spans="1:18" s="89" customFormat="1" ht="12" x14ac:dyDescent="0.2">
      <c r="A159" s="46">
        <v>151</v>
      </c>
      <c r="B159" s="88" t="s">
        <v>222</v>
      </c>
      <c r="C159" s="47">
        <f t="shared" si="6"/>
        <v>110680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>
        <f>110000+680</f>
        <v>110680</v>
      </c>
      <c r="P159" s="47"/>
      <c r="Q159" s="47"/>
      <c r="R159" s="47"/>
    </row>
    <row r="160" spans="1:18" s="89" customFormat="1" ht="12" x14ac:dyDescent="0.2">
      <c r="A160" s="46">
        <v>152</v>
      </c>
      <c r="B160" s="88" t="s">
        <v>36</v>
      </c>
      <c r="C160" s="47">
        <f t="shared" si="6"/>
        <v>45075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>
        <f>65500-65500</f>
        <v>0</v>
      </c>
      <c r="P160" s="47">
        <v>45075</v>
      </c>
      <c r="Q160" s="47"/>
      <c r="R160" s="47"/>
    </row>
    <row r="161" spans="1:19" s="89" customFormat="1" ht="12" x14ac:dyDescent="0.2">
      <c r="A161" s="46">
        <v>153</v>
      </c>
      <c r="B161" s="88" t="s">
        <v>224</v>
      </c>
      <c r="C161" s="47">
        <f t="shared" si="6"/>
        <v>65500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>
        <v>65500</v>
      </c>
      <c r="P161" s="47"/>
      <c r="Q161" s="47"/>
      <c r="R161" s="47"/>
    </row>
    <row r="162" spans="1:19" s="89" customFormat="1" ht="12" x14ac:dyDescent="0.2">
      <c r="A162" s="46">
        <v>154</v>
      </c>
      <c r="B162" s="88" t="s">
        <v>225</v>
      </c>
      <c r="C162" s="47">
        <f t="shared" si="6"/>
        <v>19781</v>
      </c>
      <c r="D162" s="47">
        <v>19781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3" spans="1:19" s="89" customFormat="1" ht="12" x14ac:dyDescent="0.2">
      <c r="A163" s="46">
        <v>155</v>
      </c>
      <c r="B163" s="88" t="s">
        <v>10</v>
      </c>
      <c r="C163" s="47">
        <f t="shared" si="6"/>
        <v>57392</v>
      </c>
      <c r="D163" s="47"/>
      <c r="E163" s="47"/>
      <c r="F163" s="47"/>
      <c r="G163" s="47"/>
      <c r="H163" s="47"/>
      <c r="I163" s="47"/>
      <c r="J163" s="47"/>
      <c r="K163" s="47"/>
      <c r="L163" s="47">
        <f t="shared" si="5"/>
        <v>4392</v>
      </c>
      <c r="M163" s="47">
        <v>3075</v>
      </c>
      <c r="N163" s="47">
        <v>1317</v>
      </c>
      <c r="O163" s="47">
        <v>53000</v>
      </c>
      <c r="P163" s="47"/>
      <c r="Q163" s="47"/>
      <c r="R163" s="47"/>
    </row>
    <row r="164" spans="1:19" s="89" customFormat="1" ht="12" x14ac:dyDescent="0.2">
      <c r="A164" s="46">
        <v>156</v>
      </c>
      <c r="B164" s="88" t="s">
        <v>1</v>
      </c>
      <c r="C164" s="47">
        <f t="shared" si="6"/>
        <v>1234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>
        <f>1800-566</f>
        <v>1234</v>
      </c>
      <c r="P164" s="47"/>
      <c r="Q164" s="47"/>
      <c r="R164" s="47"/>
    </row>
    <row r="165" spans="1:19" s="89" customFormat="1" ht="12" x14ac:dyDescent="0.2">
      <c r="A165" s="46">
        <v>157</v>
      </c>
      <c r="B165" s="88" t="s">
        <v>226</v>
      </c>
      <c r="C165" s="47">
        <f t="shared" si="6"/>
        <v>56754</v>
      </c>
      <c r="D165" s="47"/>
      <c r="E165" s="47">
        <f t="shared" si="7"/>
        <v>7475</v>
      </c>
      <c r="F165" s="47">
        <f>6525+378</f>
        <v>6903</v>
      </c>
      <c r="G165" s="47">
        <v>572</v>
      </c>
      <c r="H165" s="47">
        <v>1952</v>
      </c>
      <c r="I165" s="47">
        <v>0</v>
      </c>
      <c r="J165" s="47">
        <v>4367</v>
      </c>
      <c r="K165" s="47">
        <v>0</v>
      </c>
      <c r="L165" s="47"/>
      <c r="M165" s="47"/>
      <c r="N165" s="47"/>
      <c r="O165" s="47">
        <v>1400</v>
      </c>
      <c r="P165" s="47"/>
      <c r="Q165" s="47">
        <f>22965+1060</f>
        <v>24025</v>
      </c>
      <c r="R165" s="47">
        <f>18107-572</f>
        <v>17535</v>
      </c>
    </row>
    <row r="166" spans="1:19" s="92" customFormat="1" ht="24" customHeight="1" x14ac:dyDescent="0.2">
      <c r="A166" s="46">
        <v>158</v>
      </c>
      <c r="B166" s="93" t="s">
        <v>299</v>
      </c>
      <c r="C166" s="47">
        <f t="shared" si="6"/>
        <v>131931</v>
      </c>
      <c r="D166" s="91"/>
      <c r="E166" s="47">
        <f t="shared" si="7"/>
        <v>12531</v>
      </c>
      <c r="F166" s="91">
        <f>10839+422</f>
        <v>11261</v>
      </c>
      <c r="G166" s="47">
        <v>1270</v>
      </c>
      <c r="H166" s="91">
        <v>3250</v>
      </c>
      <c r="I166" s="91">
        <v>1477</v>
      </c>
      <c r="J166" s="91">
        <v>4391</v>
      </c>
      <c r="K166" s="91">
        <v>75078</v>
      </c>
      <c r="L166" s="91"/>
      <c r="M166" s="91"/>
      <c r="N166" s="91"/>
      <c r="O166" s="91"/>
      <c r="P166" s="91"/>
      <c r="Q166" s="91">
        <f>8836+2625</f>
        <v>11461</v>
      </c>
      <c r="R166" s="91">
        <f>25013-1270</f>
        <v>23743</v>
      </c>
      <c r="S166" s="89"/>
    </row>
    <row r="167" spans="1:19" s="89" customFormat="1" ht="12" x14ac:dyDescent="0.2">
      <c r="A167" s="46">
        <v>159</v>
      </c>
      <c r="B167" s="88" t="s">
        <v>228</v>
      </c>
      <c r="C167" s="47">
        <f t="shared" si="6"/>
        <v>3000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>
        <v>3000</v>
      </c>
      <c r="P167" s="47"/>
      <c r="Q167" s="47"/>
      <c r="R167" s="47"/>
    </row>
    <row r="168" spans="1:19" s="89" customFormat="1" ht="12" x14ac:dyDescent="0.2">
      <c r="A168" s="94"/>
      <c r="B168" s="88" t="s">
        <v>151</v>
      </c>
      <c r="C168" s="47">
        <f>326248-148149-1851</f>
        <v>176248</v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</row>
    <row r="169" spans="1:19" s="97" customFormat="1" ht="12" x14ac:dyDescent="0.2">
      <c r="A169" s="95"/>
      <c r="B169" s="96" t="s">
        <v>12</v>
      </c>
      <c r="C169" s="95">
        <f t="shared" ref="C169" si="8">SUM(C9:C167)+C168</f>
        <v>9540535</v>
      </c>
      <c r="D169" s="95">
        <f>SUM(D9:D167)</f>
        <v>405980</v>
      </c>
      <c r="E169" s="95">
        <f t="shared" ref="E169:R169" si="9">SUM(E9:E167)</f>
        <v>787030</v>
      </c>
      <c r="F169" s="95">
        <f t="shared" si="9"/>
        <v>722336</v>
      </c>
      <c r="G169" s="95">
        <f t="shared" si="9"/>
        <v>64694</v>
      </c>
      <c r="H169" s="95">
        <f t="shared" si="9"/>
        <v>201742</v>
      </c>
      <c r="I169" s="95">
        <f t="shared" si="9"/>
        <v>109014</v>
      </c>
      <c r="J169" s="95">
        <f t="shared" si="9"/>
        <v>316828</v>
      </c>
      <c r="K169" s="95">
        <f t="shared" si="9"/>
        <v>3621643</v>
      </c>
      <c r="L169" s="95">
        <f t="shared" si="9"/>
        <v>48312</v>
      </c>
      <c r="M169" s="95">
        <f t="shared" si="9"/>
        <v>32668</v>
      </c>
      <c r="N169" s="95">
        <f t="shared" si="9"/>
        <v>15644</v>
      </c>
      <c r="O169" s="95">
        <f t="shared" si="9"/>
        <v>728449</v>
      </c>
      <c r="P169" s="95">
        <f t="shared" si="9"/>
        <v>241606</v>
      </c>
      <c r="Q169" s="95">
        <f t="shared" si="9"/>
        <v>1158395</v>
      </c>
      <c r="R169" s="95">
        <f t="shared" si="9"/>
        <v>1745288</v>
      </c>
      <c r="S169" s="89"/>
    </row>
    <row r="170" spans="1:19" x14ac:dyDescent="0.25">
      <c r="O170" s="98"/>
    </row>
  </sheetData>
  <mergeCells count="23">
    <mergeCell ref="P4:P7"/>
    <mergeCell ref="Q4:R4"/>
    <mergeCell ref="E5:G5"/>
    <mergeCell ref="H5:H7"/>
    <mergeCell ref="M5:M7"/>
    <mergeCell ref="N5:N7"/>
    <mergeCell ref="Q5:Q7"/>
    <mergeCell ref="A1:R1"/>
    <mergeCell ref="A3:A7"/>
    <mergeCell ref="B3:B7"/>
    <mergeCell ref="C3:C7"/>
    <mergeCell ref="D3:R3"/>
    <mergeCell ref="D4:D7"/>
    <mergeCell ref="E4:H4"/>
    <mergeCell ref="I4:I7"/>
    <mergeCell ref="J4:J7"/>
    <mergeCell ref="K4:K7"/>
    <mergeCell ref="R5:R7"/>
    <mergeCell ref="E6:E7"/>
    <mergeCell ref="F6:G6"/>
    <mergeCell ref="L4:L7"/>
    <mergeCell ref="M4:N4"/>
    <mergeCell ref="O4:O7"/>
  </mergeCells>
  <pageMargins left="0" right="0" top="0.59055118110236227" bottom="0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zoomScale="120" zoomScaleNormal="120" workbookViewId="0">
      <pane xSplit="2" ySplit="7" topLeftCell="C62" activePane="bottomRight" state="frozen"/>
      <selection pane="topRight" activeCell="C1" sqref="C1"/>
      <selection pane="bottomLeft" activeCell="A7" sqref="A7"/>
      <selection pane="bottomRight" activeCell="I181" sqref="I181"/>
    </sheetView>
  </sheetViews>
  <sheetFormatPr defaultRowHeight="15" x14ac:dyDescent="0.25"/>
  <cols>
    <col min="1" max="1" width="3.5703125" style="99" customWidth="1"/>
    <col min="2" max="2" width="31.140625" style="42" customWidth="1"/>
    <col min="3" max="4" width="10.7109375" style="99" customWidth="1"/>
    <col min="5" max="5" width="9.140625" style="99"/>
    <col min="6" max="6" width="9.140625" style="106"/>
    <col min="7" max="7" width="9.140625" style="99"/>
    <col min="8" max="8" width="12.28515625" style="99" customWidth="1"/>
    <col min="9" max="9" width="9.140625" style="99"/>
    <col min="10" max="10" width="11.28515625" style="99" customWidth="1"/>
    <col min="11" max="16384" width="9.140625" style="99"/>
  </cols>
  <sheetData>
    <row r="1" spans="1:10" ht="18.75" customHeight="1" x14ac:dyDescent="0.25">
      <c r="A1" s="181" t="s">
        <v>300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31.5" customHeight="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</row>
    <row r="3" spans="1:10" s="85" customFormat="1" ht="12.75" customHeight="1" x14ac:dyDescent="0.2">
      <c r="A3" s="189" t="s">
        <v>48</v>
      </c>
      <c r="B3" s="189" t="s">
        <v>154</v>
      </c>
      <c r="C3" s="189" t="s">
        <v>301</v>
      </c>
      <c r="D3" s="189" t="s">
        <v>302</v>
      </c>
      <c r="E3" s="185" t="s">
        <v>303</v>
      </c>
      <c r="F3" s="185"/>
      <c r="G3" s="185"/>
      <c r="H3" s="185"/>
      <c r="I3" s="185"/>
      <c r="J3" s="185"/>
    </row>
    <row r="4" spans="1:10" s="85" customFormat="1" ht="12" customHeight="1" x14ac:dyDescent="0.2">
      <c r="A4" s="190"/>
      <c r="B4" s="190"/>
      <c r="C4" s="190"/>
      <c r="D4" s="190"/>
      <c r="E4" s="189" t="s">
        <v>33</v>
      </c>
      <c r="F4" s="185" t="s">
        <v>51</v>
      </c>
      <c r="G4" s="185"/>
      <c r="H4" s="185"/>
      <c r="I4" s="185"/>
      <c r="J4" s="185"/>
    </row>
    <row r="5" spans="1:10" s="85" customFormat="1" ht="20.25" customHeight="1" x14ac:dyDescent="0.2">
      <c r="A5" s="190"/>
      <c r="B5" s="190"/>
      <c r="C5" s="190"/>
      <c r="D5" s="190"/>
      <c r="E5" s="190"/>
      <c r="F5" s="186" t="s">
        <v>304</v>
      </c>
      <c r="G5" s="188"/>
      <c r="H5" s="189" t="s">
        <v>305</v>
      </c>
      <c r="I5" s="189" t="s">
        <v>306</v>
      </c>
      <c r="J5" s="195" t="s">
        <v>307</v>
      </c>
    </row>
    <row r="6" spans="1:10" s="85" customFormat="1" ht="45" x14ac:dyDescent="0.2">
      <c r="A6" s="191"/>
      <c r="B6" s="191"/>
      <c r="C6" s="191"/>
      <c r="D6" s="191"/>
      <c r="E6" s="191"/>
      <c r="F6" s="100" t="s">
        <v>248</v>
      </c>
      <c r="G6" s="101" t="s">
        <v>249</v>
      </c>
      <c r="H6" s="191"/>
      <c r="I6" s="191"/>
      <c r="J6" s="196"/>
    </row>
    <row r="7" spans="1:10" ht="11.25" customHeight="1" x14ac:dyDescent="0.25">
      <c r="A7" s="43">
        <v>1</v>
      </c>
      <c r="B7" s="102">
        <v>2</v>
      </c>
      <c r="C7" s="43">
        <v>3</v>
      </c>
      <c r="D7" s="102">
        <v>4</v>
      </c>
      <c r="E7" s="43">
        <v>5</v>
      </c>
      <c r="F7" s="102">
        <v>6</v>
      </c>
      <c r="G7" s="43">
        <v>7</v>
      </c>
      <c r="H7" s="102">
        <v>8</v>
      </c>
      <c r="I7" s="43">
        <v>9</v>
      </c>
      <c r="J7" s="102">
        <v>10</v>
      </c>
    </row>
    <row r="8" spans="1:10" ht="10.5" customHeight="1" x14ac:dyDescent="0.25">
      <c r="A8" s="43">
        <v>1</v>
      </c>
      <c r="B8" s="88" t="s">
        <v>57</v>
      </c>
      <c r="C8" s="46">
        <f>50339+250+250</f>
        <v>50839</v>
      </c>
      <c r="D8" s="46"/>
      <c r="E8" s="46">
        <f>F8+G8+H8+I8+J8</f>
        <v>177777</v>
      </c>
      <c r="F8" s="46">
        <f>34901+1025+798</f>
        <v>36724</v>
      </c>
      <c r="G8" s="46">
        <v>138817</v>
      </c>
      <c r="H8" s="46"/>
      <c r="I8" s="46">
        <v>2236</v>
      </c>
      <c r="J8" s="46"/>
    </row>
    <row r="9" spans="1:10" ht="10.5" customHeight="1" x14ac:dyDescent="0.25">
      <c r="A9" s="43">
        <v>2</v>
      </c>
      <c r="B9" s="88" t="s">
        <v>58</v>
      </c>
      <c r="C9" s="46">
        <v>22449</v>
      </c>
      <c r="D9" s="46"/>
      <c r="E9" s="46">
        <f t="shared" ref="E9:E81" si="0">F9+G9+H9+I9+J9</f>
        <v>77611</v>
      </c>
      <c r="F9" s="46">
        <v>16174</v>
      </c>
      <c r="G9" s="46">
        <v>61437</v>
      </c>
      <c r="H9" s="46"/>
      <c r="I9" s="46"/>
      <c r="J9" s="46"/>
    </row>
    <row r="10" spans="1:10" ht="10.5" customHeight="1" x14ac:dyDescent="0.25">
      <c r="A10" s="43">
        <v>3</v>
      </c>
      <c r="B10" s="88" t="s">
        <v>59</v>
      </c>
      <c r="C10" s="46">
        <v>12956</v>
      </c>
      <c r="D10" s="46"/>
      <c r="E10" s="46">
        <f t="shared" si="0"/>
        <v>47387</v>
      </c>
      <c r="F10" s="46">
        <f>8551-256</f>
        <v>8295</v>
      </c>
      <c r="G10" s="46">
        <v>39092</v>
      </c>
      <c r="H10" s="46"/>
      <c r="I10" s="46"/>
      <c r="J10" s="46"/>
    </row>
    <row r="11" spans="1:10" ht="10.5" customHeight="1" x14ac:dyDescent="0.25">
      <c r="A11" s="43">
        <v>4</v>
      </c>
      <c r="B11" s="88" t="s">
        <v>60</v>
      </c>
      <c r="C11" s="46">
        <v>8613</v>
      </c>
      <c r="D11" s="46"/>
      <c r="E11" s="46">
        <f t="shared" si="0"/>
        <v>29631</v>
      </c>
      <c r="F11" s="46">
        <f>6914-135</f>
        <v>6779</v>
      </c>
      <c r="G11" s="46">
        <v>22852</v>
      </c>
      <c r="H11" s="46"/>
      <c r="I11" s="46"/>
      <c r="J11" s="46"/>
    </row>
    <row r="12" spans="1:10" ht="10.5" customHeight="1" x14ac:dyDescent="0.25">
      <c r="A12" s="43">
        <v>5</v>
      </c>
      <c r="B12" s="88" t="s">
        <v>61</v>
      </c>
      <c r="C12" s="46">
        <v>15782</v>
      </c>
      <c r="D12" s="46"/>
      <c r="E12" s="46">
        <f t="shared" si="0"/>
        <v>55678</v>
      </c>
      <c r="F12" s="46">
        <f>13525-200</f>
        <v>13325</v>
      </c>
      <c r="G12" s="46">
        <v>42353</v>
      </c>
      <c r="H12" s="46"/>
      <c r="I12" s="46"/>
      <c r="J12" s="46"/>
    </row>
    <row r="13" spans="1:10" ht="10.5" customHeight="1" x14ac:dyDescent="0.25">
      <c r="A13" s="43">
        <v>6</v>
      </c>
      <c r="B13" s="88" t="s">
        <v>62</v>
      </c>
      <c r="C13" s="46">
        <f>24956-500</f>
        <v>24456</v>
      </c>
      <c r="D13" s="46"/>
      <c r="E13" s="46">
        <f t="shared" si="0"/>
        <v>86259</v>
      </c>
      <c r="F13" s="46">
        <v>19600</v>
      </c>
      <c r="G13" s="46">
        <v>66659</v>
      </c>
      <c r="H13" s="46"/>
      <c r="I13" s="46"/>
      <c r="J13" s="46"/>
    </row>
    <row r="14" spans="1:10" ht="10.5" customHeight="1" x14ac:dyDescent="0.25">
      <c r="A14" s="43">
        <v>7</v>
      </c>
      <c r="B14" s="88" t="s">
        <v>252</v>
      </c>
      <c r="C14" s="46">
        <v>500</v>
      </c>
      <c r="D14" s="46"/>
      <c r="E14" s="46">
        <f t="shared" si="0"/>
        <v>400</v>
      </c>
      <c r="F14" s="46"/>
      <c r="G14" s="46"/>
      <c r="H14" s="46">
        <v>400</v>
      </c>
      <c r="I14" s="46"/>
      <c r="J14" s="46"/>
    </row>
    <row r="15" spans="1:10" ht="10.5" customHeight="1" x14ac:dyDescent="0.25">
      <c r="A15" s="43">
        <v>8</v>
      </c>
      <c r="B15" s="88" t="s">
        <v>253</v>
      </c>
      <c r="C15" s="46">
        <f>500-200</f>
        <v>300</v>
      </c>
      <c r="D15" s="46"/>
      <c r="E15" s="46">
        <f t="shared" si="0"/>
        <v>200</v>
      </c>
      <c r="F15" s="46"/>
      <c r="G15" s="46"/>
      <c r="H15" s="46">
        <v>200</v>
      </c>
      <c r="I15" s="46"/>
      <c r="J15" s="46"/>
    </row>
    <row r="16" spans="1:10" ht="10.5" customHeight="1" x14ac:dyDescent="0.25">
      <c r="A16" s="43">
        <v>9</v>
      </c>
      <c r="B16" s="88" t="s">
        <v>254</v>
      </c>
      <c r="C16" s="46">
        <f>500-250-250</f>
        <v>0</v>
      </c>
      <c r="D16" s="46"/>
      <c r="E16" s="46">
        <f t="shared" si="0"/>
        <v>0</v>
      </c>
      <c r="F16" s="46"/>
      <c r="G16" s="46"/>
      <c r="H16" s="46">
        <f>500-500</f>
        <v>0</v>
      </c>
      <c r="I16" s="46"/>
      <c r="J16" s="46"/>
    </row>
    <row r="17" spans="1:10" ht="10.5" customHeight="1" x14ac:dyDescent="0.25">
      <c r="A17" s="43">
        <v>10</v>
      </c>
      <c r="B17" s="88" t="s">
        <v>255</v>
      </c>
      <c r="C17" s="46">
        <v>500</v>
      </c>
      <c r="D17" s="46"/>
      <c r="E17" s="46">
        <f t="shared" si="0"/>
        <v>200</v>
      </c>
      <c r="F17" s="46"/>
      <c r="G17" s="46"/>
      <c r="H17" s="46">
        <v>200</v>
      </c>
      <c r="I17" s="46"/>
      <c r="J17" s="46"/>
    </row>
    <row r="18" spans="1:10" ht="10.5" customHeight="1" x14ac:dyDescent="0.25">
      <c r="A18" s="43">
        <v>11</v>
      </c>
      <c r="B18" s="88" t="s">
        <v>256</v>
      </c>
      <c r="C18" s="46"/>
      <c r="D18" s="46"/>
      <c r="E18" s="46">
        <f t="shared" si="0"/>
        <v>200</v>
      </c>
      <c r="F18" s="46"/>
      <c r="G18" s="46"/>
      <c r="H18" s="46">
        <v>200</v>
      </c>
      <c r="I18" s="46"/>
      <c r="J18" s="46"/>
    </row>
    <row r="19" spans="1:10" ht="10.5" customHeight="1" x14ac:dyDescent="0.25">
      <c r="A19" s="43">
        <v>12</v>
      </c>
      <c r="B19" s="88" t="s">
        <v>308</v>
      </c>
      <c r="C19" s="46"/>
      <c r="D19" s="46"/>
      <c r="E19" s="46">
        <f t="shared" si="0"/>
        <v>2000</v>
      </c>
      <c r="F19" s="46"/>
      <c r="G19" s="46"/>
      <c r="H19" s="46">
        <f>1500+500</f>
        <v>2000</v>
      </c>
      <c r="I19" s="46"/>
      <c r="J19" s="46"/>
    </row>
    <row r="20" spans="1:10" ht="10.5" customHeight="1" x14ac:dyDescent="0.25">
      <c r="A20" s="43">
        <v>13</v>
      </c>
      <c r="B20" s="88" t="s">
        <v>63</v>
      </c>
      <c r="C20" s="46">
        <v>57740</v>
      </c>
      <c r="D20" s="46"/>
      <c r="E20" s="46">
        <f t="shared" si="0"/>
        <v>205185</v>
      </c>
      <c r="F20" s="46">
        <v>59381</v>
      </c>
      <c r="G20" s="46">
        <v>140270</v>
      </c>
      <c r="H20" s="46"/>
      <c r="I20" s="46">
        <v>5534</v>
      </c>
      <c r="J20" s="46"/>
    </row>
    <row r="21" spans="1:10" ht="10.5" customHeight="1" x14ac:dyDescent="0.25">
      <c r="A21" s="43">
        <v>14</v>
      </c>
      <c r="B21" s="88" t="s">
        <v>64</v>
      </c>
      <c r="C21" s="46">
        <f>40919+218</f>
        <v>41137</v>
      </c>
      <c r="D21" s="46"/>
      <c r="E21" s="46">
        <f t="shared" si="0"/>
        <v>140316</v>
      </c>
      <c r="F21" s="46">
        <f>49615-1178</f>
        <v>48437</v>
      </c>
      <c r="G21" s="46">
        <v>91879</v>
      </c>
      <c r="H21" s="46"/>
      <c r="I21" s="46"/>
      <c r="J21" s="46"/>
    </row>
    <row r="22" spans="1:10" ht="10.5" customHeight="1" x14ac:dyDescent="0.25">
      <c r="A22" s="43">
        <v>15</v>
      </c>
      <c r="B22" s="88" t="s">
        <v>65</v>
      </c>
      <c r="C22" s="46">
        <v>23739</v>
      </c>
      <c r="D22" s="46"/>
      <c r="E22" s="46">
        <f t="shared" si="0"/>
        <v>81547</v>
      </c>
      <c r="F22" s="46">
        <v>10186</v>
      </c>
      <c r="G22" s="46">
        <v>71361</v>
      </c>
      <c r="H22" s="46"/>
      <c r="I22" s="46"/>
      <c r="J22" s="46"/>
    </row>
    <row r="23" spans="1:10" ht="10.5" customHeight="1" x14ac:dyDescent="0.25">
      <c r="A23" s="43">
        <v>16</v>
      </c>
      <c r="B23" s="88" t="s">
        <v>66</v>
      </c>
      <c r="C23" s="46">
        <v>10235</v>
      </c>
      <c r="D23" s="46"/>
      <c r="E23" s="46">
        <f t="shared" si="0"/>
        <v>35433</v>
      </c>
      <c r="F23" s="46">
        <v>10617</v>
      </c>
      <c r="G23" s="46">
        <v>24816</v>
      </c>
      <c r="H23" s="46"/>
      <c r="I23" s="46"/>
      <c r="J23" s="46"/>
    </row>
    <row r="24" spans="1:10" ht="10.5" customHeight="1" x14ac:dyDescent="0.25">
      <c r="A24" s="43">
        <v>17</v>
      </c>
      <c r="B24" s="88" t="s">
        <v>257</v>
      </c>
      <c r="C24" s="46"/>
      <c r="D24" s="46"/>
      <c r="E24" s="46">
        <f t="shared" si="0"/>
        <v>600</v>
      </c>
      <c r="F24" s="46"/>
      <c r="G24" s="46"/>
      <c r="H24" s="46">
        <f>600</f>
        <v>600</v>
      </c>
      <c r="I24" s="46"/>
      <c r="J24" s="46"/>
    </row>
    <row r="25" spans="1:10" ht="10.5" customHeight="1" x14ac:dyDescent="0.25">
      <c r="A25" s="43">
        <v>18</v>
      </c>
      <c r="B25" s="88" t="s">
        <v>67</v>
      </c>
      <c r="C25" s="46">
        <v>8478</v>
      </c>
      <c r="D25" s="46"/>
      <c r="E25" s="46">
        <f t="shared" si="0"/>
        <v>29975</v>
      </c>
      <c r="F25" s="46">
        <v>7494</v>
      </c>
      <c r="G25" s="46">
        <v>22481</v>
      </c>
      <c r="H25" s="46"/>
      <c r="I25" s="46"/>
      <c r="J25" s="46"/>
    </row>
    <row r="26" spans="1:10" ht="10.5" customHeight="1" x14ac:dyDescent="0.25">
      <c r="A26" s="43">
        <v>19</v>
      </c>
      <c r="B26" s="88" t="s">
        <v>68</v>
      </c>
      <c r="C26" s="46">
        <v>31182</v>
      </c>
      <c r="D26" s="46"/>
      <c r="E26" s="46">
        <f t="shared" si="0"/>
        <v>99336</v>
      </c>
      <c r="F26" s="46">
        <v>22463</v>
      </c>
      <c r="G26" s="46">
        <v>72675</v>
      </c>
      <c r="H26" s="46"/>
      <c r="I26" s="46">
        <v>4198</v>
      </c>
      <c r="J26" s="46"/>
    </row>
    <row r="27" spans="1:10" ht="23.25" customHeight="1" x14ac:dyDescent="0.25">
      <c r="A27" s="43">
        <v>20</v>
      </c>
      <c r="B27" s="48" t="s">
        <v>258</v>
      </c>
      <c r="C27" s="46">
        <v>1100</v>
      </c>
      <c r="D27" s="46"/>
      <c r="E27" s="46">
        <f t="shared" si="0"/>
        <v>16424</v>
      </c>
      <c r="F27" s="46">
        <v>0</v>
      </c>
      <c r="G27" s="46">
        <v>0</v>
      </c>
      <c r="H27" s="46">
        <f>16500-76</f>
        <v>16424</v>
      </c>
      <c r="I27" s="46"/>
      <c r="J27" s="46"/>
    </row>
    <row r="28" spans="1:10" ht="10.5" customHeight="1" x14ac:dyDescent="0.25">
      <c r="A28" s="43">
        <v>21</v>
      </c>
      <c r="B28" s="88" t="s">
        <v>69</v>
      </c>
      <c r="C28" s="46">
        <v>32329</v>
      </c>
      <c r="D28" s="46"/>
      <c r="E28" s="46">
        <f t="shared" si="0"/>
        <v>106575</v>
      </c>
      <c r="F28" s="46">
        <v>24192</v>
      </c>
      <c r="G28" s="46">
        <v>82383</v>
      </c>
      <c r="H28" s="46"/>
      <c r="I28" s="46"/>
      <c r="J28" s="46"/>
    </row>
    <row r="29" spans="1:10" ht="10.5" customHeight="1" x14ac:dyDescent="0.25">
      <c r="A29" s="43">
        <v>22</v>
      </c>
      <c r="B29" s="88" t="s">
        <v>259</v>
      </c>
      <c r="C29" s="46">
        <v>1800</v>
      </c>
      <c r="D29" s="46"/>
      <c r="E29" s="46">
        <f t="shared" si="0"/>
        <v>10000</v>
      </c>
      <c r="F29" s="46">
        <v>0</v>
      </c>
      <c r="G29" s="46">
        <v>0</v>
      </c>
      <c r="H29" s="46">
        <v>10000</v>
      </c>
      <c r="I29" s="46"/>
      <c r="J29" s="46"/>
    </row>
    <row r="30" spans="1:10" ht="10.5" customHeight="1" x14ac:dyDescent="0.25">
      <c r="A30" s="43">
        <v>23</v>
      </c>
      <c r="B30" s="88" t="s">
        <v>70</v>
      </c>
      <c r="C30" s="46">
        <v>75838</v>
      </c>
      <c r="D30" s="46"/>
      <c r="E30" s="46">
        <f t="shared" si="0"/>
        <v>260908</v>
      </c>
      <c r="F30" s="46">
        <v>61414</v>
      </c>
      <c r="G30" s="46">
        <v>192730</v>
      </c>
      <c r="H30" s="46"/>
      <c r="I30" s="46">
        <v>6764</v>
      </c>
      <c r="J30" s="46"/>
    </row>
    <row r="31" spans="1:10" s="104" customFormat="1" ht="48" customHeight="1" x14ac:dyDescent="0.2">
      <c r="A31" s="43">
        <v>24</v>
      </c>
      <c r="B31" s="30" t="s">
        <v>309</v>
      </c>
      <c r="C31" s="103">
        <v>9839</v>
      </c>
      <c r="D31" s="103"/>
      <c r="E31" s="103">
        <f t="shared" si="0"/>
        <v>33992</v>
      </c>
      <c r="F31" s="103">
        <v>9255</v>
      </c>
      <c r="G31" s="103">
        <v>24737</v>
      </c>
      <c r="H31" s="103"/>
      <c r="I31" s="103"/>
      <c r="J31" s="103"/>
    </row>
    <row r="32" spans="1:10" ht="10.5" customHeight="1" x14ac:dyDescent="0.25">
      <c r="A32" s="43">
        <v>25</v>
      </c>
      <c r="B32" s="88" t="s">
        <v>72</v>
      </c>
      <c r="C32" s="46">
        <v>25819</v>
      </c>
      <c r="D32" s="46"/>
      <c r="E32" s="46">
        <f t="shared" si="0"/>
        <v>89652</v>
      </c>
      <c r="F32" s="46">
        <f>27553+393</f>
        <v>27946</v>
      </c>
      <c r="G32" s="46">
        <v>61706</v>
      </c>
      <c r="H32" s="46"/>
      <c r="I32" s="46"/>
      <c r="J32" s="46"/>
    </row>
    <row r="33" spans="1:10" ht="10.5" customHeight="1" x14ac:dyDescent="0.25">
      <c r="A33" s="43">
        <v>26</v>
      </c>
      <c r="B33" s="88" t="s">
        <v>73</v>
      </c>
      <c r="C33" s="46">
        <v>12066</v>
      </c>
      <c r="D33" s="46"/>
      <c r="E33" s="46">
        <f t="shared" si="0"/>
        <v>41720</v>
      </c>
      <c r="F33" s="46">
        <v>9122</v>
      </c>
      <c r="G33" s="46">
        <v>32598</v>
      </c>
      <c r="H33" s="46"/>
      <c r="I33" s="46"/>
      <c r="J33" s="46"/>
    </row>
    <row r="34" spans="1:10" ht="10.5" customHeight="1" x14ac:dyDescent="0.25">
      <c r="A34" s="43">
        <v>27</v>
      </c>
      <c r="B34" s="88" t="s">
        <v>74</v>
      </c>
      <c r="C34" s="46">
        <v>11669</v>
      </c>
      <c r="D34" s="46"/>
      <c r="E34" s="46">
        <f t="shared" si="0"/>
        <v>40311</v>
      </c>
      <c r="F34" s="46">
        <f>8112+177</f>
        <v>8289</v>
      </c>
      <c r="G34" s="46">
        <v>32022</v>
      </c>
      <c r="H34" s="46"/>
      <c r="I34" s="46"/>
      <c r="J34" s="46"/>
    </row>
    <row r="35" spans="1:10" ht="10.5" customHeight="1" x14ac:dyDescent="0.25">
      <c r="A35" s="43">
        <v>28</v>
      </c>
      <c r="B35" s="88" t="s">
        <v>75</v>
      </c>
      <c r="C35" s="46">
        <v>13368</v>
      </c>
      <c r="D35" s="46"/>
      <c r="E35" s="46">
        <f t="shared" si="0"/>
        <v>46191</v>
      </c>
      <c r="F35" s="46">
        <v>9880</v>
      </c>
      <c r="G35" s="46">
        <v>36311</v>
      </c>
      <c r="H35" s="46"/>
      <c r="I35" s="46"/>
      <c r="J35" s="46"/>
    </row>
    <row r="36" spans="1:10" ht="10.5" customHeight="1" x14ac:dyDescent="0.25">
      <c r="A36" s="43">
        <v>29</v>
      </c>
      <c r="B36" s="88" t="s">
        <v>76</v>
      </c>
      <c r="C36" s="46">
        <v>13643</v>
      </c>
      <c r="D36" s="46"/>
      <c r="E36" s="46">
        <f t="shared" si="0"/>
        <v>47020</v>
      </c>
      <c r="F36" s="46">
        <f>10987-148</f>
        <v>10839</v>
      </c>
      <c r="G36" s="46">
        <v>36181</v>
      </c>
      <c r="H36" s="46"/>
      <c r="I36" s="46"/>
      <c r="J36" s="46"/>
    </row>
    <row r="37" spans="1:10" ht="10.5" customHeight="1" x14ac:dyDescent="0.25">
      <c r="A37" s="43">
        <v>30</v>
      </c>
      <c r="B37" s="88" t="s">
        <v>77</v>
      </c>
      <c r="C37" s="46">
        <v>15174</v>
      </c>
      <c r="D37" s="46"/>
      <c r="E37" s="46">
        <f t="shared" si="0"/>
        <v>52469</v>
      </c>
      <c r="F37" s="46">
        <v>17380</v>
      </c>
      <c r="G37" s="46">
        <v>35089</v>
      </c>
      <c r="H37" s="46"/>
      <c r="I37" s="46"/>
      <c r="J37" s="46"/>
    </row>
    <row r="38" spans="1:10" ht="10.5" customHeight="1" x14ac:dyDescent="0.25">
      <c r="A38" s="43">
        <v>31</v>
      </c>
      <c r="B38" s="88" t="s">
        <v>78</v>
      </c>
      <c r="C38" s="46">
        <v>14237</v>
      </c>
      <c r="D38" s="46"/>
      <c r="E38" s="46">
        <f t="shared" si="0"/>
        <v>48991</v>
      </c>
      <c r="F38" s="46">
        <f>7268-223</f>
        <v>7045</v>
      </c>
      <c r="G38" s="46">
        <v>41946</v>
      </c>
      <c r="H38" s="46"/>
      <c r="I38" s="46"/>
      <c r="J38" s="46"/>
    </row>
    <row r="39" spans="1:10" ht="10.5" customHeight="1" x14ac:dyDescent="0.25">
      <c r="A39" s="43">
        <v>32</v>
      </c>
      <c r="B39" s="88" t="s">
        <v>79</v>
      </c>
      <c r="C39" s="46">
        <f>15237</f>
        <v>15237</v>
      </c>
      <c r="D39" s="46"/>
      <c r="E39" s="46">
        <f t="shared" si="0"/>
        <v>52841</v>
      </c>
      <c r="F39" s="46">
        <f>12401+166</f>
        <v>12567</v>
      </c>
      <c r="G39" s="46">
        <v>40274</v>
      </c>
      <c r="H39" s="46"/>
      <c r="I39" s="46"/>
      <c r="J39" s="46"/>
    </row>
    <row r="40" spans="1:10" ht="10.5" customHeight="1" x14ac:dyDescent="0.25">
      <c r="A40" s="43">
        <v>33</v>
      </c>
      <c r="B40" s="88" t="s">
        <v>80</v>
      </c>
      <c r="C40" s="46">
        <v>14142</v>
      </c>
      <c r="D40" s="46"/>
      <c r="E40" s="46">
        <f t="shared" si="0"/>
        <v>48754</v>
      </c>
      <c r="F40" s="46">
        <f>10350-156</f>
        <v>10194</v>
      </c>
      <c r="G40" s="46">
        <v>38560</v>
      </c>
      <c r="H40" s="46"/>
      <c r="I40" s="46"/>
      <c r="J40" s="46"/>
    </row>
    <row r="41" spans="1:10" ht="10.5" customHeight="1" x14ac:dyDescent="0.25">
      <c r="A41" s="43">
        <v>34</v>
      </c>
      <c r="B41" s="88" t="s">
        <v>260</v>
      </c>
      <c r="C41" s="46">
        <v>200</v>
      </c>
      <c r="D41" s="46"/>
      <c r="E41" s="46">
        <f t="shared" si="0"/>
        <v>1222</v>
      </c>
      <c r="F41" s="46"/>
      <c r="G41" s="46"/>
      <c r="H41" s="46">
        <v>1222</v>
      </c>
      <c r="I41" s="46"/>
      <c r="J41" s="46"/>
    </row>
    <row r="42" spans="1:10" ht="10.5" customHeight="1" x14ac:dyDescent="0.25">
      <c r="A42" s="43">
        <v>35</v>
      </c>
      <c r="B42" s="88" t="s">
        <v>261</v>
      </c>
      <c r="C42" s="46">
        <v>200</v>
      </c>
      <c r="D42" s="46"/>
      <c r="E42" s="46">
        <f t="shared" si="0"/>
        <v>1222</v>
      </c>
      <c r="F42" s="46"/>
      <c r="G42" s="46"/>
      <c r="H42" s="46">
        <v>1222</v>
      </c>
      <c r="I42" s="46"/>
      <c r="J42" s="46"/>
    </row>
    <row r="43" spans="1:10" ht="10.5" customHeight="1" x14ac:dyDescent="0.25">
      <c r="A43" s="43">
        <v>36</v>
      </c>
      <c r="B43" s="88" t="s">
        <v>262</v>
      </c>
      <c r="C43" s="46"/>
      <c r="D43" s="46"/>
      <c r="E43" s="46">
        <f t="shared" si="0"/>
        <v>1222</v>
      </c>
      <c r="F43" s="46"/>
      <c r="G43" s="46"/>
      <c r="H43" s="46">
        <v>1222</v>
      </c>
      <c r="I43" s="46"/>
      <c r="J43" s="46"/>
    </row>
    <row r="44" spans="1:10" ht="10.5" customHeight="1" x14ac:dyDescent="0.25">
      <c r="A44" s="43">
        <v>37</v>
      </c>
      <c r="B44" s="88" t="s">
        <v>263</v>
      </c>
      <c r="C44" s="46"/>
      <c r="D44" s="46"/>
      <c r="E44" s="46">
        <f t="shared" si="0"/>
        <v>1222</v>
      </c>
      <c r="F44" s="46"/>
      <c r="G44" s="46"/>
      <c r="H44" s="46">
        <v>1222</v>
      </c>
      <c r="I44" s="46"/>
      <c r="J44" s="46"/>
    </row>
    <row r="45" spans="1:10" ht="10.5" customHeight="1" x14ac:dyDescent="0.25">
      <c r="A45" s="43">
        <v>38</v>
      </c>
      <c r="B45" s="88" t="s">
        <v>264</v>
      </c>
      <c r="C45" s="46"/>
      <c r="D45" s="46"/>
      <c r="E45" s="46">
        <f t="shared" si="0"/>
        <v>0</v>
      </c>
      <c r="F45" s="46"/>
      <c r="G45" s="46"/>
      <c r="H45" s="46">
        <f>1500-1500</f>
        <v>0</v>
      </c>
      <c r="I45" s="46"/>
      <c r="J45" s="46"/>
    </row>
    <row r="46" spans="1:10" ht="10.5" customHeight="1" x14ac:dyDescent="0.25">
      <c r="A46" s="43">
        <v>39</v>
      </c>
      <c r="B46" s="88" t="s">
        <v>310</v>
      </c>
      <c r="C46" s="46">
        <v>200</v>
      </c>
      <c r="D46" s="46"/>
      <c r="E46" s="46">
        <f t="shared" si="0"/>
        <v>1222</v>
      </c>
      <c r="F46" s="46"/>
      <c r="G46" s="46"/>
      <c r="H46" s="46">
        <v>1222</v>
      </c>
      <c r="I46" s="46"/>
      <c r="J46" s="46"/>
    </row>
    <row r="47" spans="1:10" ht="10.5" customHeight="1" x14ac:dyDescent="0.25">
      <c r="A47" s="43">
        <v>40</v>
      </c>
      <c r="B47" s="88" t="s">
        <v>311</v>
      </c>
      <c r="C47" s="46"/>
      <c r="D47" s="46"/>
      <c r="E47" s="46">
        <f t="shared" si="0"/>
        <v>1200</v>
      </c>
      <c r="F47" s="46"/>
      <c r="G47" s="46"/>
      <c r="H47" s="46">
        <v>1200</v>
      </c>
      <c r="I47" s="46"/>
      <c r="J47" s="46"/>
    </row>
    <row r="48" spans="1:10" ht="10.5" customHeight="1" x14ac:dyDescent="0.25">
      <c r="A48" s="43">
        <v>41</v>
      </c>
      <c r="B48" s="88" t="s">
        <v>265</v>
      </c>
      <c r="C48" s="46"/>
      <c r="D48" s="46"/>
      <c r="E48" s="46">
        <f t="shared" si="0"/>
        <v>0</v>
      </c>
      <c r="F48" s="46"/>
      <c r="G48" s="46"/>
      <c r="H48" s="46">
        <f>200-200</f>
        <v>0</v>
      </c>
      <c r="I48" s="46"/>
      <c r="J48" s="46"/>
    </row>
    <row r="49" spans="1:10" ht="10.5" customHeight="1" x14ac:dyDescent="0.25">
      <c r="A49" s="43">
        <v>42</v>
      </c>
      <c r="B49" s="88" t="s">
        <v>266</v>
      </c>
      <c r="C49" s="46">
        <v>200</v>
      </c>
      <c r="D49" s="46"/>
      <c r="E49" s="46">
        <f t="shared" si="0"/>
        <v>1222</v>
      </c>
      <c r="F49" s="46"/>
      <c r="G49" s="46"/>
      <c r="H49" s="46">
        <v>1222</v>
      </c>
      <c r="I49" s="46"/>
      <c r="J49" s="46"/>
    </row>
    <row r="50" spans="1:10" ht="10.5" customHeight="1" x14ac:dyDescent="0.25">
      <c r="A50" s="43">
        <v>43</v>
      </c>
      <c r="B50" s="88" t="s">
        <v>312</v>
      </c>
      <c r="C50" s="46"/>
      <c r="D50" s="46"/>
      <c r="E50" s="46">
        <f t="shared" si="0"/>
        <v>461</v>
      </c>
      <c r="F50" s="46"/>
      <c r="G50" s="46"/>
      <c r="H50" s="46">
        <f>1050-589</f>
        <v>461</v>
      </c>
      <c r="I50" s="46"/>
      <c r="J50" s="46"/>
    </row>
    <row r="51" spans="1:10" ht="10.5" customHeight="1" x14ac:dyDescent="0.25">
      <c r="A51" s="43">
        <v>44</v>
      </c>
      <c r="B51" s="88" t="s">
        <v>267</v>
      </c>
      <c r="C51" s="46"/>
      <c r="D51" s="46"/>
      <c r="E51" s="46">
        <f t="shared" si="0"/>
        <v>1222</v>
      </c>
      <c r="F51" s="46"/>
      <c r="G51" s="46"/>
      <c r="H51" s="46">
        <v>1222</v>
      </c>
      <c r="I51" s="46"/>
      <c r="J51" s="46"/>
    </row>
    <row r="52" spans="1:10" ht="10.5" customHeight="1" x14ac:dyDescent="0.25">
      <c r="A52" s="43">
        <v>45</v>
      </c>
      <c r="B52" s="88" t="s">
        <v>8</v>
      </c>
      <c r="C52" s="46">
        <v>16319</v>
      </c>
      <c r="D52" s="46"/>
      <c r="E52" s="46">
        <f t="shared" si="0"/>
        <v>59174</v>
      </c>
      <c r="F52" s="46">
        <v>11095</v>
      </c>
      <c r="G52" s="46">
        <v>45350</v>
      </c>
      <c r="H52" s="46"/>
      <c r="I52" s="46">
        <v>2729</v>
      </c>
      <c r="J52" s="46"/>
    </row>
    <row r="53" spans="1:10" ht="10.5" customHeight="1" x14ac:dyDescent="0.25">
      <c r="A53" s="43">
        <v>46</v>
      </c>
      <c r="B53" s="88" t="s">
        <v>81</v>
      </c>
      <c r="C53" s="46">
        <v>10804</v>
      </c>
      <c r="D53" s="46"/>
      <c r="E53" s="46">
        <f t="shared" si="0"/>
        <v>37365</v>
      </c>
      <c r="F53" s="46">
        <v>9032</v>
      </c>
      <c r="G53" s="46">
        <v>28333</v>
      </c>
      <c r="H53" s="46"/>
      <c r="I53" s="46"/>
      <c r="J53" s="46"/>
    </row>
    <row r="54" spans="1:10" ht="10.5" customHeight="1" x14ac:dyDescent="0.25">
      <c r="A54" s="43">
        <v>47</v>
      </c>
      <c r="B54" s="88" t="s">
        <v>82</v>
      </c>
      <c r="C54" s="46">
        <v>12955</v>
      </c>
      <c r="D54" s="46"/>
      <c r="E54" s="46">
        <f t="shared" si="0"/>
        <v>44800</v>
      </c>
      <c r="F54" s="46">
        <v>10621</v>
      </c>
      <c r="G54" s="46">
        <v>34179</v>
      </c>
      <c r="H54" s="46"/>
      <c r="I54" s="46"/>
      <c r="J54" s="46"/>
    </row>
    <row r="55" spans="1:10" ht="10.5" customHeight="1" x14ac:dyDescent="0.25">
      <c r="A55" s="43">
        <v>48</v>
      </c>
      <c r="B55" s="88" t="s">
        <v>83</v>
      </c>
      <c r="C55" s="46">
        <v>10177</v>
      </c>
      <c r="D55" s="46"/>
      <c r="E55" s="46">
        <f t="shared" si="0"/>
        <v>34866</v>
      </c>
      <c r="F55" s="46">
        <f>9400-133</f>
        <v>9267</v>
      </c>
      <c r="G55" s="46">
        <v>25599</v>
      </c>
      <c r="H55" s="46"/>
      <c r="I55" s="46"/>
      <c r="J55" s="46"/>
    </row>
    <row r="56" spans="1:10" ht="10.5" customHeight="1" x14ac:dyDescent="0.25">
      <c r="A56" s="43">
        <v>49</v>
      </c>
      <c r="B56" s="88" t="s">
        <v>84</v>
      </c>
      <c r="C56" s="46">
        <v>15035</v>
      </c>
      <c r="D56" s="46"/>
      <c r="E56" s="46">
        <f t="shared" si="0"/>
        <v>51999</v>
      </c>
      <c r="F56" s="46">
        <v>14777</v>
      </c>
      <c r="G56" s="46">
        <v>37222</v>
      </c>
      <c r="H56" s="46"/>
      <c r="I56" s="46"/>
      <c r="J56" s="46"/>
    </row>
    <row r="57" spans="1:10" ht="24" customHeight="1" x14ac:dyDescent="0.25">
      <c r="A57" s="43">
        <v>50</v>
      </c>
      <c r="B57" s="48" t="s">
        <v>268</v>
      </c>
      <c r="C57" s="46"/>
      <c r="D57" s="46"/>
      <c r="E57" s="46">
        <f t="shared" si="0"/>
        <v>200</v>
      </c>
      <c r="F57" s="46"/>
      <c r="G57" s="46"/>
      <c r="H57" s="46">
        <v>200</v>
      </c>
      <c r="I57" s="46"/>
      <c r="J57" s="46"/>
    </row>
    <row r="58" spans="1:10" ht="10.5" customHeight="1" x14ac:dyDescent="0.25">
      <c r="A58" s="43">
        <v>51</v>
      </c>
      <c r="B58" s="88" t="s">
        <v>85</v>
      </c>
      <c r="C58" s="46">
        <v>31448</v>
      </c>
      <c r="D58" s="46"/>
      <c r="E58" s="46">
        <f t="shared" si="0"/>
        <v>99824</v>
      </c>
      <c r="F58" s="46">
        <v>21301</v>
      </c>
      <c r="G58" s="46">
        <v>74690</v>
      </c>
      <c r="H58" s="46"/>
      <c r="I58" s="46">
        <v>3833</v>
      </c>
      <c r="J58" s="46"/>
    </row>
    <row r="59" spans="1:10" ht="27" customHeight="1" x14ac:dyDescent="0.25">
      <c r="A59" s="43">
        <v>52</v>
      </c>
      <c r="B59" s="48" t="s">
        <v>269</v>
      </c>
      <c r="C59" s="46">
        <v>1800</v>
      </c>
      <c r="D59" s="46"/>
      <c r="E59" s="46">
        <f t="shared" si="0"/>
        <v>19000</v>
      </c>
      <c r="F59" s="46">
        <v>0</v>
      </c>
      <c r="G59" s="46">
        <v>0</v>
      </c>
      <c r="H59" s="46">
        <v>19000</v>
      </c>
      <c r="I59" s="46"/>
      <c r="J59" s="46"/>
    </row>
    <row r="60" spans="1:10" ht="10.5" customHeight="1" x14ac:dyDescent="0.25">
      <c r="A60" s="43">
        <v>53</v>
      </c>
      <c r="B60" s="88" t="s">
        <v>86</v>
      </c>
      <c r="C60" s="46">
        <v>33203</v>
      </c>
      <c r="D60" s="46"/>
      <c r="E60" s="46">
        <f t="shared" si="0"/>
        <v>109382</v>
      </c>
      <c r="F60" s="46">
        <v>23049</v>
      </c>
      <c r="G60" s="46">
        <v>86333</v>
      </c>
      <c r="H60" s="46"/>
      <c r="I60" s="46"/>
      <c r="J60" s="46"/>
    </row>
    <row r="61" spans="1:10" ht="10.5" customHeight="1" x14ac:dyDescent="0.25">
      <c r="A61" s="43">
        <v>54</v>
      </c>
      <c r="B61" s="88" t="s">
        <v>87</v>
      </c>
      <c r="C61" s="46">
        <v>17881</v>
      </c>
      <c r="D61" s="46"/>
      <c r="E61" s="46">
        <f t="shared" si="0"/>
        <v>61860</v>
      </c>
      <c r="F61" s="46">
        <v>12175</v>
      </c>
      <c r="G61" s="46">
        <v>49685</v>
      </c>
      <c r="H61" s="46"/>
      <c r="I61" s="46"/>
      <c r="J61" s="46"/>
    </row>
    <row r="62" spans="1:10" ht="10.5" customHeight="1" x14ac:dyDescent="0.25">
      <c r="A62" s="43">
        <v>55</v>
      </c>
      <c r="B62" s="88" t="s">
        <v>88</v>
      </c>
      <c r="C62" s="46">
        <v>8775</v>
      </c>
      <c r="D62" s="46"/>
      <c r="E62" s="46">
        <f t="shared" si="0"/>
        <v>30343</v>
      </c>
      <c r="F62" s="46">
        <v>5542</v>
      </c>
      <c r="G62" s="46">
        <v>24801</v>
      </c>
      <c r="H62" s="46"/>
      <c r="I62" s="46"/>
      <c r="J62" s="46"/>
    </row>
    <row r="63" spans="1:10" ht="10.5" customHeight="1" x14ac:dyDescent="0.25">
      <c r="A63" s="43">
        <v>56</v>
      </c>
      <c r="B63" s="88" t="s">
        <v>270</v>
      </c>
      <c r="C63" s="46"/>
      <c r="D63" s="46"/>
      <c r="E63" s="46">
        <f t="shared" si="0"/>
        <v>1500</v>
      </c>
      <c r="F63" s="46"/>
      <c r="G63" s="46">
        <v>0</v>
      </c>
      <c r="H63" s="46">
        <v>1500</v>
      </c>
      <c r="I63" s="46"/>
      <c r="J63" s="46"/>
    </row>
    <row r="64" spans="1:10" ht="10.5" customHeight="1" x14ac:dyDescent="0.25">
      <c r="A64" s="43">
        <v>57</v>
      </c>
      <c r="B64" s="88" t="s">
        <v>271</v>
      </c>
      <c r="C64" s="46"/>
      <c r="D64" s="46"/>
      <c r="E64" s="46">
        <f t="shared" si="0"/>
        <v>4000</v>
      </c>
      <c r="F64" s="46"/>
      <c r="G64" s="46"/>
      <c r="H64" s="46">
        <v>4000</v>
      </c>
      <c r="I64" s="46"/>
      <c r="J64" s="46"/>
    </row>
    <row r="65" spans="1:10" ht="10.5" customHeight="1" x14ac:dyDescent="0.25">
      <c r="A65" s="43">
        <v>58</v>
      </c>
      <c r="B65" s="88" t="s">
        <v>89</v>
      </c>
      <c r="C65" s="46">
        <v>31822</v>
      </c>
      <c r="D65" s="46">
        <v>6308</v>
      </c>
      <c r="E65" s="46">
        <f t="shared" si="0"/>
        <v>88420</v>
      </c>
      <c r="F65" s="46">
        <f>14225+326</f>
        <v>14551</v>
      </c>
      <c r="G65" s="46">
        <v>64696</v>
      </c>
      <c r="H65" s="46"/>
      <c r="I65" s="46">
        <f>10193-1020</f>
        <v>9173</v>
      </c>
      <c r="J65" s="46"/>
    </row>
    <row r="66" spans="1:10" ht="22.5" customHeight="1" x14ac:dyDescent="0.25">
      <c r="A66" s="43">
        <v>59</v>
      </c>
      <c r="B66" s="48" t="s">
        <v>313</v>
      </c>
      <c r="C66" s="46">
        <v>28451</v>
      </c>
      <c r="D66" s="46"/>
      <c r="E66" s="46">
        <f t="shared" si="0"/>
        <v>88617</v>
      </c>
      <c r="F66" s="46">
        <v>29685</v>
      </c>
      <c r="G66" s="46">
        <v>58932</v>
      </c>
      <c r="H66" s="46"/>
      <c r="I66" s="46"/>
      <c r="J66" s="46"/>
    </row>
    <row r="67" spans="1:10" ht="10.5" customHeight="1" x14ac:dyDescent="0.25">
      <c r="A67" s="43">
        <v>60</v>
      </c>
      <c r="B67" s="48" t="s">
        <v>91</v>
      </c>
      <c r="C67" s="46">
        <f>33231-930</f>
        <v>32301</v>
      </c>
      <c r="D67" s="46"/>
      <c r="E67" s="46">
        <f t="shared" si="0"/>
        <v>95370</v>
      </c>
      <c r="F67" s="46">
        <v>31745</v>
      </c>
      <c r="G67" s="46">
        <v>62925</v>
      </c>
      <c r="H67" s="46"/>
      <c r="I67" s="46">
        <v>700</v>
      </c>
      <c r="J67" s="46"/>
    </row>
    <row r="68" spans="1:10" ht="22.5" customHeight="1" x14ac:dyDescent="0.25">
      <c r="A68" s="43">
        <v>61</v>
      </c>
      <c r="B68" s="48" t="s">
        <v>314</v>
      </c>
      <c r="C68" s="46">
        <v>15178</v>
      </c>
      <c r="D68" s="46"/>
      <c r="E68" s="46">
        <f t="shared" si="0"/>
        <v>52956</v>
      </c>
      <c r="F68" s="46">
        <v>9650</v>
      </c>
      <c r="G68" s="46">
        <v>43306</v>
      </c>
      <c r="H68" s="46"/>
      <c r="I68" s="46"/>
      <c r="J68" s="46"/>
    </row>
    <row r="69" spans="1:10" s="104" customFormat="1" ht="48.75" customHeight="1" x14ac:dyDescent="0.2">
      <c r="A69" s="43">
        <v>62</v>
      </c>
      <c r="B69" s="31" t="s">
        <v>315</v>
      </c>
      <c r="C69" s="103">
        <v>21536</v>
      </c>
      <c r="D69" s="103"/>
      <c r="E69" s="45">
        <f t="shared" si="0"/>
        <v>77839</v>
      </c>
      <c r="F69" s="103">
        <v>16356</v>
      </c>
      <c r="G69" s="103">
        <v>61483</v>
      </c>
      <c r="H69" s="103"/>
      <c r="I69" s="103"/>
      <c r="J69" s="103"/>
    </row>
    <row r="70" spans="1:10" ht="10.5" customHeight="1" x14ac:dyDescent="0.25">
      <c r="A70" s="43">
        <v>63</v>
      </c>
      <c r="B70" s="88" t="s">
        <v>95</v>
      </c>
      <c r="C70" s="46">
        <v>22086</v>
      </c>
      <c r="D70" s="46"/>
      <c r="E70" s="46">
        <f t="shared" si="0"/>
        <v>87832</v>
      </c>
      <c r="F70" s="46">
        <f>16400+388</f>
        <v>16788</v>
      </c>
      <c r="G70" s="46">
        <v>71044</v>
      </c>
      <c r="H70" s="46"/>
      <c r="I70" s="46"/>
      <c r="J70" s="46"/>
    </row>
    <row r="71" spans="1:10" ht="10.5" customHeight="1" x14ac:dyDescent="0.25">
      <c r="A71" s="43">
        <v>64</v>
      </c>
      <c r="B71" s="88" t="s">
        <v>96</v>
      </c>
      <c r="C71" s="46"/>
      <c r="D71" s="46"/>
      <c r="E71" s="46">
        <f t="shared" si="0"/>
        <v>11810</v>
      </c>
      <c r="F71" s="46"/>
      <c r="G71" s="46"/>
      <c r="H71" s="46">
        <v>11810</v>
      </c>
      <c r="I71" s="46"/>
      <c r="J71" s="46"/>
    </row>
    <row r="72" spans="1:10" ht="10.5" customHeight="1" x14ac:dyDescent="0.25">
      <c r="A72" s="43">
        <v>65</v>
      </c>
      <c r="B72" s="88" t="s">
        <v>275</v>
      </c>
      <c r="C72" s="46">
        <v>11000</v>
      </c>
      <c r="D72" s="46"/>
      <c r="E72" s="46">
        <f t="shared" si="0"/>
        <v>71000</v>
      </c>
      <c r="F72" s="46"/>
      <c r="G72" s="46"/>
      <c r="H72" s="46">
        <v>71000</v>
      </c>
      <c r="I72" s="46"/>
      <c r="J72" s="46"/>
    </row>
    <row r="73" spans="1:10" ht="23.25" customHeight="1" x14ac:dyDescent="0.25">
      <c r="A73" s="43">
        <v>66</v>
      </c>
      <c r="B73" s="48" t="s">
        <v>192</v>
      </c>
      <c r="C73" s="46">
        <v>3339</v>
      </c>
      <c r="D73" s="46"/>
      <c r="E73" s="46">
        <f t="shared" si="0"/>
        <v>10316</v>
      </c>
      <c r="F73" s="46">
        <v>4846</v>
      </c>
      <c r="G73" s="46">
        <v>5470</v>
      </c>
      <c r="H73" s="46"/>
      <c r="I73" s="46"/>
      <c r="J73" s="46"/>
    </row>
    <row r="74" spans="1:10" ht="10.5" customHeight="1" x14ac:dyDescent="0.25">
      <c r="A74" s="43">
        <v>67</v>
      </c>
      <c r="B74" s="88" t="s">
        <v>97</v>
      </c>
      <c r="C74" s="46">
        <v>49115</v>
      </c>
      <c r="D74" s="46"/>
      <c r="E74" s="46">
        <f t="shared" si="0"/>
        <v>169788</v>
      </c>
      <c r="F74" s="46">
        <v>40920</v>
      </c>
      <c r="G74" s="46">
        <v>128868</v>
      </c>
      <c r="H74" s="46"/>
      <c r="I74" s="46"/>
      <c r="J74" s="46"/>
    </row>
    <row r="75" spans="1:10" ht="10.5" customHeight="1" x14ac:dyDescent="0.25">
      <c r="A75" s="43">
        <v>68</v>
      </c>
      <c r="B75" s="88" t="s">
        <v>98</v>
      </c>
      <c r="C75" s="46">
        <v>36220</v>
      </c>
      <c r="D75" s="46"/>
      <c r="E75" s="46">
        <f t="shared" si="0"/>
        <v>131223</v>
      </c>
      <c r="F75" s="46">
        <v>41227</v>
      </c>
      <c r="G75" s="46">
        <v>83950</v>
      </c>
      <c r="H75" s="46"/>
      <c r="I75" s="46">
        <v>6046</v>
      </c>
      <c r="J75" s="46"/>
    </row>
    <row r="76" spans="1:10" s="104" customFormat="1" ht="48" customHeight="1" x14ac:dyDescent="0.2">
      <c r="A76" s="43">
        <v>69</v>
      </c>
      <c r="B76" s="31" t="s">
        <v>194</v>
      </c>
      <c r="C76" s="103">
        <v>13317</v>
      </c>
      <c r="D76" s="103"/>
      <c r="E76" s="103">
        <f t="shared" si="0"/>
        <v>45826</v>
      </c>
      <c r="F76" s="103">
        <f>15237-216</f>
        <v>15021</v>
      </c>
      <c r="G76" s="103">
        <v>30805</v>
      </c>
      <c r="H76" s="103"/>
      <c r="I76" s="103"/>
      <c r="J76" s="103"/>
    </row>
    <row r="77" spans="1:10" ht="10.5" customHeight="1" x14ac:dyDescent="0.25">
      <c r="A77" s="43">
        <v>70</v>
      </c>
      <c r="B77" s="88" t="s">
        <v>100</v>
      </c>
      <c r="C77" s="46">
        <f>46855</f>
        <v>46855</v>
      </c>
      <c r="D77" s="46"/>
      <c r="E77" s="46">
        <f t="shared" si="0"/>
        <v>161988</v>
      </c>
      <c r="F77" s="46">
        <v>33897</v>
      </c>
      <c r="G77" s="46">
        <v>128091</v>
      </c>
      <c r="H77" s="46"/>
      <c r="I77" s="46"/>
      <c r="J77" s="46"/>
    </row>
    <row r="78" spans="1:10" ht="10.5" customHeight="1" x14ac:dyDescent="0.25">
      <c r="A78" s="43">
        <v>71</v>
      </c>
      <c r="B78" s="88" t="s">
        <v>101</v>
      </c>
      <c r="C78" s="46">
        <f>48621-878</f>
        <v>47743</v>
      </c>
      <c r="D78" s="46"/>
      <c r="E78" s="46">
        <f t="shared" si="0"/>
        <v>142677</v>
      </c>
      <c r="F78" s="46">
        <f>32478-14250</f>
        <v>18228</v>
      </c>
      <c r="G78" s="46">
        <v>120989</v>
      </c>
      <c r="H78" s="46">
        <v>0</v>
      </c>
      <c r="I78" s="46">
        <v>3460</v>
      </c>
      <c r="J78" s="46"/>
    </row>
    <row r="79" spans="1:10" s="105" customFormat="1" ht="45.75" customHeight="1" x14ac:dyDescent="0.25">
      <c r="A79" s="43">
        <v>72</v>
      </c>
      <c r="B79" s="31" t="s">
        <v>102</v>
      </c>
      <c r="C79" s="103">
        <v>15702</v>
      </c>
      <c r="D79" s="103"/>
      <c r="E79" s="103">
        <f t="shared" si="0"/>
        <v>51182</v>
      </c>
      <c r="F79" s="103">
        <v>4938</v>
      </c>
      <c r="G79" s="103">
        <v>46244</v>
      </c>
      <c r="H79" s="103"/>
      <c r="I79" s="103"/>
      <c r="J79" s="103"/>
    </row>
    <row r="80" spans="1:10" s="105" customFormat="1" ht="15" customHeight="1" x14ac:dyDescent="0.25">
      <c r="A80" s="43">
        <v>73</v>
      </c>
      <c r="B80" s="88" t="s">
        <v>103</v>
      </c>
      <c r="C80" s="103">
        <v>878</v>
      </c>
      <c r="D80" s="103"/>
      <c r="E80" s="103">
        <f t="shared" si="0"/>
        <v>14250</v>
      </c>
      <c r="F80" s="103">
        <v>14250</v>
      </c>
      <c r="G80" s="103"/>
      <c r="H80" s="103"/>
      <c r="I80" s="103"/>
      <c r="J80" s="103"/>
    </row>
    <row r="81" spans="1:16" ht="22.5" customHeight="1" x14ac:dyDescent="0.25">
      <c r="A81" s="43">
        <v>74</v>
      </c>
      <c r="B81" s="48" t="s">
        <v>277</v>
      </c>
      <c r="C81" s="46">
        <v>5710</v>
      </c>
      <c r="D81" s="46"/>
      <c r="E81" s="103">
        <f t="shared" si="0"/>
        <v>30000</v>
      </c>
      <c r="F81" s="46"/>
      <c r="G81" s="46"/>
      <c r="H81" s="46">
        <v>30000</v>
      </c>
      <c r="I81" s="46"/>
      <c r="J81" s="46"/>
      <c r="K81" s="105"/>
      <c r="L81" s="105"/>
      <c r="M81" s="105"/>
      <c r="N81" s="105"/>
      <c r="O81" s="105"/>
      <c r="P81" s="105"/>
    </row>
    <row r="82" spans="1:16" ht="10.5" customHeight="1" x14ac:dyDescent="0.25">
      <c r="A82" s="43">
        <v>75</v>
      </c>
      <c r="B82" s="88" t="s">
        <v>104</v>
      </c>
      <c r="C82" s="46"/>
      <c r="D82" s="46"/>
      <c r="E82" s="46">
        <f t="shared" ref="E82:E149" si="1">F82+G82+H82+I82+J82</f>
        <v>9500</v>
      </c>
      <c r="F82" s="46"/>
      <c r="G82" s="46"/>
      <c r="H82" s="46">
        <v>9500</v>
      </c>
      <c r="I82" s="46"/>
      <c r="J82" s="46"/>
    </row>
    <row r="83" spans="1:16" ht="10.5" customHeight="1" x14ac:dyDescent="0.25">
      <c r="A83" s="43">
        <v>76</v>
      </c>
      <c r="B83" s="88" t="s">
        <v>105</v>
      </c>
      <c r="C83" s="46">
        <v>16040</v>
      </c>
      <c r="D83" s="46"/>
      <c r="E83" s="46">
        <f t="shared" si="1"/>
        <v>55479</v>
      </c>
      <c r="F83" s="46">
        <v>13753</v>
      </c>
      <c r="G83" s="46">
        <v>41726</v>
      </c>
      <c r="H83" s="46"/>
      <c r="I83" s="46"/>
      <c r="J83" s="46"/>
    </row>
    <row r="84" spans="1:16" ht="10.5" customHeight="1" x14ac:dyDescent="0.25">
      <c r="A84" s="43">
        <v>77</v>
      </c>
      <c r="B84" s="88" t="s">
        <v>106</v>
      </c>
      <c r="C84" s="46">
        <v>19608</v>
      </c>
      <c r="D84" s="46"/>
      <c r="E84" s="46">
        <f t="shared" si="1"/>
        <v>67815</v>
      </c>
      <c r="F84" s="46">
        <v>24503</v>
      </c>
      <c r="G84" s="46">
        <v>43312</v>
      </c>
      <c r="H84" s="46"/>
      <c r="I84" s="46"/>
      <c r="J84" s="46"/>
    </row>
    <row r="85" spans="1:16" ht="10.5" customHeight="1" x14ac:dyDescent="0.25">
      <c r="A85" s="43">
        <v>78</v>
      </c>
      <c r="B85" s="88" t="s">
        <v>107</v>
      </c>
      <c r="C85" s="46">
        <v>17907</v>
      </c>
      <c r="D85" s="46"/>
      <c r="E85" s="46">
        <f t="shared" si="1"/>
        <v>61928</v>
      </c>
      <c r="F85" s="46">
        <v>14375</v>
      </c>
      <c r="G85" s="46">
        <v>47553</v>
      </c>
      <c r="H85" s="46"/>
      <c r="I85" s="46"/>
      <c r="J85" s="46"/>
    </row>
    <row r="86" spans="1:16" ht="10.5" customHeight="1" x14ac:dyDescent="0.25">
      <c r="A86" s="43">
        <v>79</v>
      </c>
      <c r="B86" s="88" t="s">
        <v>108</v>
      </c>
      <c r="C86" s="46">
        <v>11485</v>
      </c>
      <c r="D86" s="46"/>
      <c r="E86" s="46">
        <f t="shared" si="1"/>
        <v>39610</v>
      </c>
      <c r="F86" s="46">
        <f>9017-87</f>
        <v>8930</v>
      </c>
      <c r="G86" s="46">
        <v>30680</v>
      </c>
      <c r="H86" s="46"/>
      <c r="I86" s="46"/>
      <c r="J86" s="46"/>
    </row>
    <row r="87" spans="1:16" ht="10.5" customHeight="1" x14ac:dyDescent="0.25">
      <c r="A87" s="43">
        <v>80</v>
      </c>
      <c r="B87" s="88" t="s">
        <v>109</v>
      </c>
      <c r="C87" s="46">
        <v>19941</v>
      </c>
      <c r="D87" s="46"/>
      <c r="E87" s="46">
        <f t="shared" si="1"/>
        <v>68926</v>
      </c>
      <c r="F87" s="46">
        <v>17880</v>
      </c>
      <c r="G87" s="46">
        <v>51046</v>
      </c>
      <c r="H87" s="46"/>
      <c r="I87" s="46"/>
      <c r="J87" s="46"/>
    </row>
    <row r="88" spans="1:16" ht="10.5" customHeight="1" x14ac:dyDescent="0.25">
      <c r="A88" s="43">
        <v>81</v>
      </c>
      <c r="B88" s="88" t="s">
        <v>110</v>
      </c>
      <c r="C88" s="46">
        <v>9540</v>
      </c>
      <c r="D88" s="46"/>
      <c r="E88" s="46">
        <f t="shared" si="1"/>
        <v>32777</v>
      </c>
      <c r="F88" s="46">
        <f>7154-192</f>
        <v>6962</v>
      </c>
      <c r="G88" s="46">
        <v>25815</v>
      </c>
      <c r="H88" s="46"/>
      <c r="I88" s="46"/>
      <c r="J88" s="46"/>
    </row>
    <row r="89" spans="1:16" ht="10.5" customHeight="1" x14ac:dyDescent="0.25">
      <c r="A89" s="43">
        <v>82</v>
      </c>
      <c r="B89" s="88" t="s">
        <v>316</v>
      </c>
      <c r="C89" s="46"/>
      <c r="D89" s="46"/>
      <c r="E89" s="46">
        <f t="shared" si="1"/>
        <v>2500</v>
      </c>
      <c r="F89" s="46"/>
      <c r="G89" s="46"/>
      <c r="H89" s="46">
        <v>2500</v>
      </c>
      <c r="I89" s="46"/>
      <c r="J89" s="46"/>
    </row>
    <row r="90" spans="1:16" ht="10.5" customHeight="1" x14ac:dyDescent="0.25">
      <c r="A90" s="43">
        <v>83</v>
      </c>
      <c r="B90" s="88" t="s">
        <v>45</v>
      </c>
      <c r="C90" s="46">
        <v>7900</v>
      </c>
      <c r="D90" s="46"/>
      <c r="E90" s="46">
        <f t="shared" si="1"/>
        <v>25182</v>
      </c>
      <c r="F90" s="46">
        <v>9127</v>
      </c>
      <c r="G90" s="46">
        <v>16055</v>
      </c>
      <c r="H90" s="46"/>
      <c r="I90" s="46"/>
      <c r="J90" s="46"/>
    </row>
    <row r="91" spans="1:16" ht="10.5" customHeight="1" x14ac:dyDescent="0.25">
      <c r="A91" s="43">
        <v>84</v>
      </c>
      <c r="B91" s="88" t="s">
        <v>317</v>
      </c>
      <c r="C91" s="46"/>
      <c r="D91" s="46"/>
      <c r="E91" s="46">
        <f t="shared" si="1"/>
        <v>2200</v>
      </c>
      <c r="F91" s="46"/>
      <c r="G91" s="46"/>
      <c r="H91" s="46"/>
      <c r="I91" s="46">
        <v>2200</v>
      </c>
      <c r="J91" s="46"/>
    </row>
    <row r="92" spans="1:16" ht="10.5" customHeight="1" x14ac:dyDescent="0.25">
      <c r="A92" s="43">
        <v>85</v>
      </c>
      <c r="B92" s="88" t="s">
        <v>112</v>
      </c>
      <c r="C92" s="46">
        <v>71184</v>
      </c>
      <c r="D92" s="46"/>
      <c r="E92" s="46">
        <f t="shared" si="1"/>
        <v>247151</v>
      </c>
      <c r="F92" s="46">
        <f>52711+1025</f>
        <v>53736</v>
      </c>
      <c r="G92" s="46">
        <v>193415</v>
      </c>
      <c r="H92" s="46"/>
      <c r="I92" s="46"/>
      <c r="J92" s="46"/>
    </row>
    <row r="93" spans="1:16" ht="10.5" customHeight="1" x14ac:dyDescent="0.25">
      <c r="A93" s="43">
        <v>86</v>
      </c>
      <c r="B93" s="88" t="s">
        <v>113</v>
      </c>
      <c r="C93" s="46">
        <v>55741</v>
      </c>
      <c r="D93" s="46"/>
      <c r="E93" s="46">
        <f t="shared" si="1"/>
        <v>184126</v>
      </c>
      <c r="F93" s="46">
        <f>22997+906</f>
        <v>23903</v>
      </c>
      <c r="G93" s="46">
        <v>152384</v>
      </c>
      <c r="H93" s="46"/>
      <c r="I93" s="46">
        <v>7839</v>
      </c>
      <c r="J93" s="46"/>
    </row>
    <row r="94" spans="1:16" ht="24.75" customHeight="1" x14ac:dyDescent="0.25">
      <c r="A94" s="43">
        <v>87</v>
      </c>
      <c r="B94" s="48" t="s">
        <v>278</v>
      </c>
      <c r="C94" s="46">
        <v>3000</v>
      </c>
      <c r="D94" s="46"/>
      <c r="E94" s="46">
        <f t="shared" si="1"/>
        <v>27693</v>
      </c>
      <c r="F94" s="46">
        <v>0</v>
      </c>
      <c r="G94" s="46">
        <v>0</v>
      </c>
      <c r="H94" s="46">
        <v>27693</v>
      </c>
      <c r="I94" s="46"/>
      <c r="J94" s="46"/>
    </row>
    <row r="95" spans="1:16" ht="10.5" customHeight="1" x14ac:dyDescent="0.25">
      <c r="A95" s="43">
        <v>88</v>
      </c>
      <c r="B95" s="88" t="s">
        <v>114</v>
      </c>
      <c r="C95" s="46">
        <v>16256</v>
      </c>
      <c r="D95" s="46"/>
      <c r="E95" s="46">
        <f t="shared" si="1"/>
        <v>56186</v>
      </c>
      <c r="F95" s="46">
        <v>11651</v>
      </c>
      <c r="G95" s="46">
        <v>44535</v>
      </c>
      <c r="H95" s="46"/>
      <c r="I95" s="46"/>
      <c r="J95" s="46"/>
    </row>
    <row r="96" spans="1:16" ht="10.5" customHeight="1" x14ac:dyDescent="0.25">
      <c r="A96" s="43">
        <v>89</v>
      </c>
      <c r="B96" s="88" t="s">
        <v>115</v>
      </c>
      <c r="C96" s="46">
        <v>18728</v>
      </c>
      <c r="D96" s="46"/>
      <c r="E96" s="46">
        <f t="shared" si="1"/>
        <v>64815</v>
      </c>
      <c r="F96" s="46">
        <f>13726+274</f>
        <v>14000</v>
      </c>
      <c r="G96" s="46">
        <v>50815</v>
      </c>
      <c r="H96" s="46"/>
      <c r="I96" s="46"/>
      <c r="J96" s="46"/>
    </row>
    <row r="97" spans="1:10" ht="10.5" customHeight="1" x14ac:dyDescent="0.25">
      <c r="A97" s="43">
        <v>90</v>
      </c>
      <c r="B97" s="88" t="s">
        <v>116</v>
      </c>
      <c r="C97" s="46">
        <v>12715</v>
      </c>
      <c r="D97" s="46"/>
      <c r="E97" s="46">
        <f t="shared" si="1"/>
        <v>43959</v>
      </c>
      <c r="F97" s="46">
        <v>8544</v>
      </c>
      <c r="G97" s="46">
        <v>35415</v>
      </c>
      <c r="H97" s="46"/>
      <c r="I97" s="46"/>
      <c r="J97" s="46"/>
    </row>
    <row r="98" spans="1:10" ht="10.5" customHeight="1" x14ac:dyDescent="0.25">
      <c r="A98" s="43">
        <v>91</v>
      </c>
      <c r="B98" s="88" t="s">
        <v>318</v>
      </c>
      <c r="C98" s="46"/>
      <c r="D98" s="46"/>
      <c r="E98" s="46">
        <f t="shared" si="1"/>
        <v>200</v>
      </c>
      <c r="F98" s="46"/>
      <c r="G98" s="46"/>
      <c r="H98" s="46">
        <v>200</v>
      </c>
      <c r="I98" s="46"/>
      <c r="J98" s="46"/>
    </row>
    <row r="99" spans="1:10" ht="10.5" customHeight="1" x14ac:dyDescent="0.25">
      <c r="A99" s="43">
        <v>92</v>
      </c>
      <c r="B99" s="88" t="s">
        <v>196</v>
      </c>
      <c r="C99" s="46">
        <f>13244</f>
        <v>13244</v>
      </c>
      <c r="D99" s="46"/>
      <c r="E99" s="46">
        <f t="shared" si="1"/>
        <v>66484</v>
      </c>
      <c r="F99" s="46">
        <f>14396-2000</f>
        <v>12396</v>
      </c>
      <c r="G99" s="46">
        <v>54088</v>
      </c>
      <c r="H99" s="46"/>
      <c r="I99" s="46"/>
      <c r="J99" s="46"/>
    </row>
    <row r="100" spans="1:10" ht="10.5" customHeight="1" x14ac:dyDescent="0.25">
      <c r="A100" s="43">
        <v>93</v>
      </c>
      <c r="B100" s="88" t="s">
        <v>197</v>
      </c>
      <c r="C100" s="46">
        <v>11229</v>
      </c>
      <c r="D100" s="46"/>
      <c r="E100" s="46">
        <f t="shared" si="1"/>
        <v>58057</v>
      </c>
      <c r="F100" s="46">
        <v>11307</v>
      </c>
      <c r="G100" s="46">
        <v>46750</v>
      </c>
      <c r="H100" s="46"/>
      <c r="I100" s="46"/>
      <c r="J100" s="46"/>
    </row>
    <row r="101" spans="1:10" ht="10.5" customHeight="1" x14ac:dyDescent="0.25">
      <c r="A101" s="43">
        <v>94</v>
      </c>
      <c r="B101" s="88" t="s">
        <v>198</v>
      </c>
      <c r="C101" s="46">
        <v>22324</v>
      </c>
      <c r="D101" s="46">
        <v>7164</v>
      </c>
      <c r="E101" s="46">
        <f t="shared" si="1"/>
        <v>79193</v>
      </c>
      <c r="F101" s="46">
        <f>17930+800</f>
        <v>18730</v>
      </c>
      <c r="G101" s="46">
        <v>60463</v>
      </c>
      <c r="H101" s="46"/>
      <c r="I101" s="46"/>
      <c r="J101" s="46"/>
    </row>
    <row r="102" spans="1:10" ht="10.5" customHeight="1" x14ac:dyDescent="0.25">
      <c r="A102" s="43">
        <v>95</v>
      </c>
      <c r="B102" s="88" t="s">
        <v>199</v>
      </c>
      <c r="C102" s="46">
        <v>25750</v>
      </c>
      <c r="D102" s="46">
        <v>6921</v>
      </c>
      <c r="E102" s="46">
        <f t="shared" si="1"/>
        <v>98065</v>
      </c>
      <c r="F102" s="46">
        <f>24565+700</f>
        <v>25265</v>
      </c>
      <c r="G102" s="46">
        <v>72800</v>
      </c>
      <c r="H102" s="46"/>
      <c r="I102" s="46"/>
      <c r="J102" s="46"/>
    </row>
    <row r="103" spans="1:10" ht="10.5" customHeight="1" x14ac:dyDescent="0.25">
      <c r="A103" s="43">
        <v>96</v>
      </c>
      <c r="B103" s="88" t="s">
        <v>279</v>
      </c>
      <c r="C103" s="46">
        <v>7236</v>
      </c>
      <c r="D103" s="46"/>
      <c r="E103" s="46">
        <f t="shared" si="1"/>
        <v>35497</v>
      </c>
      <c r="F103" s="46">
        <v>7288</v>
      </c>
      <c r="G103" s="46">
        <v>28209</v>
      </c>
      <c r="H103" s="46"/>
      <c r="I103" s="46"/>
      <c r="J103" s="46"/>
    </row>
    <row r="104" spans="1:10" ht="10.5" customHeight="1" x14ac:dyDescent="0.25">
      <c r="A104" s="43">
        <v>97</v>
      </c>
      <c r="B104" s="88" t="s">
        <v>280</v>
      </c>
      <c r="C104" s="46">
        <v>0</v>
      </c>
      <c r="D104" s="46"/>
      <c r="E104" s="46">
        <f t="shared" si="1"/>
        <v>23000</v>
      </c>
      <c r="F104" s="46">
        <v>0</v>
      </c>
      <c r="G104" s="46">
        <v>0</v>
      </c>
      <c r="H104" s="46">
        <v>23000</v>
      </c>
      <c r="I104" s="46"/>
      <c r="J104" s="46"/>
    </row>
    <row r="105" spans="1:10" ht="10.5" customHeight="1" x14ac:dyDescent="0.25">
      <c r="A105" s="43">
        <v>98</v>
      </c>
      <c r="B105" s="88" t="s">
        <v>281</v>
      </c>
      <c r="C105" s="46">
        <v>9223</v>
      </c>
      <c r="D105" s="46"/>
      <c r="E105" s="46">
        <f t="shared" si="1"/>
        <v>33800</v>
      </c>
      <c r="F105" s="46">
        <v>0</v>
      </c>
      <c r="G105" s="46">
        <v>0</v>
      </c>
      <c r="H105" s="46">
        <v>33800</v>
      </c>
      <c r="I105" s="46"/>
      <c r="J105" s="46"/>
    </row>
    <row r="106" spans="1:10" ht="10.5" customHeight="1" x14ac:dyDescent="0.25">
      <c r="A106" s="43">
        <v>99</v>
      </c>
      <c r="B106" s="88" t="s">
        <v>201</v>
      </c>
      <c r="C106" s="46">
        <v>25633</v>
      </c>
      <c r="D106" s="46"/>
      <c r="E106" s="46">
        <f t="shared" si="1"/>
        <v>102076</v>
      </c>
      <c r="F106" s="46">
        <v>24934</v>
      </c>
      <c r="G106" s="46">
        <v>77142</v>
      </c>
      <c r="H106" s="46"/>
      <c r="I106" s="46"/>
      <c r="J106" s="46"/>
    </row>
    <row r="107" spans="1:10" ht="10.5" customHeight="1" x14ac:dyDescent="0.25">
      <c r="A107" s="43">
        <v>100</v>
      </c>
      <c r="B107" s="88" t="s">
        <v>202</v>
      </c>
      <c r="C107" s="46">
        <v>14891</v>
      </c>
      <c r="D107" s="46"/>
      <c r="E107" s="46">
        <f t="shared" si="1"/>
        <v>58569</v>
      </c>
      <c r="F107" s="46">
        <v>15707</v>
      </c>
      <c r="G107" s="46">
        <v>42862</v>
      </c>
      <c r="H107" s="46"/>
      <c r="I107" s="46"/>
      <c r="J107" s="46"/>
    </row>
    <row r="108" spans="1:10" ht="10.5" customHeight="1" x14ac:dyDescent="0.25">
      <c r="A108" s="43">
        <v>101</v>
      </c>
      <c r="B108" s="88" t="s">
        <v>203</v>
      </c>
      <c r="C108" s="46">
        <v>14205</v>
      </c>
      <c r="D108" s="46"/>
      <c r="E108" s="46">
        <f t="shared" si="1"/>
        <v>70047</v>
      </c>
      <c r="F108" s="46">
        <v>15391</v>
      </c>
      <c r="G108" s="46">
        <v>50067</v>
      </c>
      <c r="H108" s="46"/>
      <c r="I108" s="46">
        <v>4589</v>
      </c>
      <c r="J108" s="46"/>
    </row>
    <row r="109" spans="1:10" ht="10.5" customHeight="1" x14ac:dyDescent="0.25">
      <c r="A109" s="43">
        <v>102</v>
      </c>
      <c r="B109" s="88" t="s">
        <v>204</v>
      </c>
      <c r="C109" s="46">
        <v>10652</v>
      </c>
      <c r="D109" s="46"/>
      <c r="E109" s="46">
        <f t="shared" si="1"/>
        <v>42181</v>
      </c>
      <c r="F109" s="46">
        <v>11145</v>
      </c>
      <c r="G109" s="46">
        <v>31036</v>
      </c>
      <c r="H109" s="46"/>
      <c r="I109" s="46"/>
      <c r="J109" s="46"/>
    </row>
    <row r="110" spans="1:10" ht="10.5" customHeight="1" x14ac:dyDescent="0.25">
      <c r="A110" s="43">
        <v>103</v>
      </c>
      <c r="B110" s="88" t="s">
        <v>205</v>
      </c>
      <c r="C110" s="46">
        <v>28037</v>
      </c>
      <c r="D110" s="46"/>
      <c r="E110" s="46">
        <f t="shared" si="1"/>
        <v>132455</v>
      </c>
      <c r="F110" s="46">
        <v>32521</v>
      </c>
      <c r="G110" s="46">
        <v>95520</v>
      </c>
      <c r="H110" s="46"/>
      <c r="I110" s="46">
        <v>4414</v>
      </c>
      <c r="J110" s="46"/>
    </row>
    <row r="111" spans="1:10" ht="10.5" customHeight="1" x14ac:dyDescent="0.25">
      <c r="A111" s="43">
        <v>104</v>
      </c>
      <c r="B111" s="88" t="s">
        <v>206</v>
      </c>
      <c r="C111" s="46">
        <v>14319</v>
      </c>
      <c r="D111" s="46"/>
      <c r="E111" s="46">
        <f t="shared" si="1"/>
        <v>65391</v>
      </c>
      <c r="F111" s="46">
        <v>22163</v>
      </c>
      <c r="G111" s="46">
        <v>43228</v>
      </c>
      <c r="H111" s="46"/>
      <c r="I111" s="46"/>
      <c r="J111" s="46"/>
    </row>
    <row r="112" spans="1:10" ht="10.5" customHeight="1" x14ac:dyDescent="0.25">
      <c r="A112" s="43">
        <v>105</v>
      </c>
      <c r="B112" s="88" t="s">
        <v>207</v>
      </c>
      <c r="C112" s="46">
        <v>16099</v>
      </c>
      <c r="D112" s="46"/>
      <c r="E112" s="46">
        <f t="shared" si="1"/>
        <v>64618</v>
      </c>
      <c r="F112" s="46">
        <v>18613</v>
      </c>
      <c r="G112" s="46">
        <v>46005</v>
      </c>
      <c r="H112" s="46"/>
      <c r="I112" s="46"/>
      <c r="J112" s="46"/>
    </row>
    <row r="113" spans="1:10" ht="10.5" customHeight="1" x14ac:dyDescent="0.25">
      <c r="A113" s="43">
        <v>106</v>
      </c>
      <c r="B113" s="88" t="s">
        <v>208</v>
      </c>
      <c r="C113" s="46">
        <f>9726+80</f>
        <v>9806</v>
      </c>
      <c r="D113" s="46"/>
      <c r="E113" s="46">
        <f t="shared" si="1"/>
        <v>45170</v>
      </c>
      <c r="F113" s="46">
        <v>11996</v>
      </c>
      <c r="G113" s="46">
        <v>26427</v>
      </c>
      <c r="H113" s="46"/>
      <c r="I113" s="46">
        <v>6747</v>
      </c>
      <c r="J113" s="46"/>
    </row>
    <row r="114" spans="1:10" ht="10.5" customHeight="1" x14ac:dyDescent="0.25">
      <c r="A114" s="43">
        <v>107</v>
      </c>
      <c r="B114" s="88" t="s">
        <v>209</v>
      </c>
      <c r="C114" s="46">
        <v>28199</v>
      </c>
      <c r="D114" s="46"/>
      <c r="E114" s="46">
        <f t="shared" si="1"/>
        <v>140458</v>
      </c>
      <c r="F114" s="46">
        <f>27795+2422</f>
        <v>30217</v>
      </c>
      <c r="G114" s="46">
        <v>104568</v>
      </c>
      <c r="H114" s="46"/>
      <c r="I114" s="46">
        <v>5673</v>
      </c>
      <c r="J114" s="46"/>
    </row>
    <row r="115" spans="1:10" ht="10.5" customHeight="1" x14ac:dyDescent="0.25">
      <c r="A115" s="43">
        <v>108</v>
      </c>
      <c r="B115" s="88" t="s">
        <v>210</v>
      </c>
      <c r="C115" s="46">
        <v>12642</v>
      </c>
      <c r="D115" s="46"/>
      <c r="E115" s="46">
        <f t="shared" si="1"/>
        <v>50107</v>
      </c>
      <c r="F115" s="46">
        <f>14160</f>
        <v>14160</v>
      </c>
      <c r="G115" s="46">
        <v>35947</v>
      </c>
      <c r="H115" s="46"/>
      <c r="I115" s="46"/>
      <c r="J115" s="46"/>
    </row>
    <row r="116" spans="1:10" ht="10.5" customHeight="1" x14ac:dyDescent="0.25">
      <c r="A116" s="43">
        <v>109</v>
      </c>
      <c r="B116" s="88" t="s">
        <v>211</v>
      </c>
      <c r="C116" s="46">
        <f>12398+102</f>
        <v>12500</v>
      </c>
      <c r="D116" s="46"/>
      <c r="E116" s="46">
        <f t="shared" si="1"/>
        <v>53069</v>
      </c>
      <c r="F116" s="46">
        <f>20050+208+1000</f>
        <v>21258</v>
      </c>
      <c r="G116" s="46">
        <v>31811</v>
      </c>
      <c r="H116" s="46"/>
      <c r="I116" s="46"/>
      <c r="J116" s="46"/>
    </row>
    <row r="117" spans="1:10" ht="10.5" customHeight="1" x14ac:dyDescent="0.25">
      <c r="A117" s="43">
        <v>110</v>
      </c>
      <c r="B117" s="88" t="s">
        <v>282</v>
      </c>
      <c r="C117" s="46"/>
      <c r="D117" s="46"/>
      <c r="E117" s="46">
        <f t="shared" si="1"/>
        <v>17970</v>
      </c>
      <c r="F117" s="46"/>
      <c r="G117" s="46"/>
      <c r="H117" s="46">
        <v>17970</v>
      </c>
      <c r="I117" s="46"/>
      <c r="J117" s="46"/>
    </row>
    <row r="118" spans="1:10" ht="10.5" customHeight="1" x14ac:dyDescent="0.25">
      <c r="A118" s="43">
        <v>111</v>
      </c>
      <c r="B118" s="88" t="s">
        <v>283</v>
      </c>
      <c r="C118" s="46">
        <v>22500</v>
      </c>
      <c r="D118" s="46"/>
      <c r="E118" s="46">
        <f t="shared" si="1"/>
        <v>20733</v>
      </c>
      <c r="F118" s="46"/>
      <c r="G118" s="46"/>
      <c r="H118" s="46">
        <v>20733</v>
      </c>
      <c r="I118" s="46"/>
      <c r="J118" s="46"/>
    </row>
    <row r="119" spans="1:10" ht="10.5" customHeight="1" x14ac:dyDescent="0.25">
      <c r="A119" s="43">
        <v>112</v>
      </c>
      <c r="B119" s="88" t="s">
        <v>284</v>
      </c>
      <c r="C119" s="46"/>
      <c r="D119" s="46"/>
      <c r="E119" s="46">
        <f t="shared" si="1"/>
        <v>22847</v>
      </c>
      <c r="F119" s="46"/>
      <c r="G119" s="46"/>
      <c r="H119" s="46">
        <v>22847</v>
      </c>
      <c r="I119" s="46"/>
      <c r="J119" s="46"/>
    </row>
    <row r="120" spans="1:10" ht="10.5" customHeight="1" x14ac:dyDescent="0.25">
      <c r="A120" s="43">
        <v>113</v>
      </c>
      <c r="B120" s="88" t="s">
        <v>285</v>
      </c>
      <c r="C120" s="46"/>
      <c r="D120" s="46"/>
      <c r="E120" s="46">
        <f t="shared" si="1"/>
        <v>20599</v>
      </c>
      <c r="F120" s="46"/>
      <c r="G120" s="46"/>
      <c r="H120" s="46">
        <v>20599</v>
      </c>
      <c r="I120" s="46"/>
      <c r="J120" s="46"/>
    </row>
    <row r="121" spans="1:10" ht="10.5" customHeight="1" x14ac:dyDescent="0.25">
      <c r="A121" s="43">
        <v>114</v>
      </c>
      <c r="B121" s="88" t="s">
        <v>286</v>
      </c>
      <c r="C121" s="46"/>
      <c r="D121" s="46"/>
      <c r="E121" s="46">
        <f t="shared" si="1"/>
        <v>30037</v>
      </c>
      <c r="F121" s="46"/>
      <c r="G121" s="46"/>
      <c r="H121" s="46">
        <v>30037</v>
      </c>
      <c r="I121" s="46"/>
      <c r="J121" s="46"/>
    </row>
    <row r="122" spans="1:10" ht="10.5" customHeight="1" x14ac:dyDescent="0.25">
      <c r="A122" s="43">
        <v>115</v>
      </c>
      <c r="B122" s="88" t="s">
        <v>287</v>
      </c>
      <c r="C122" s="46"/>
      <c r="D122" s="46"/>
      <c r="E122" s="46">
        <f t="shared" si="1"/>
        <v>18501</v>
      </c>
      <c r="F122" s="46"/>
      <c r="G122" s="46"/>
      <c r="H122" s="46">
        <v>18501</v>
      </c>
      <c r="I122" s="46"/>
      <c r="J122" s="46"/>
    </row>
    <row r="123" spans="1:10" ht="10.5" customHeight="1" x14ac:dyDescent="0.25">
      <c r="A123" s="43">
        <v>116</v>
      </c>
      <c r="B123" s="88" t="s">
        <v>288</v>
      </c>
      <c r="C123" s="46"/>
      <c r="D123" s="46"/>
      <c r="E123" s="46">
        <f t="shared" si="1"/>
        <v>15554</v>
      </c>
      <c r="F123" s="46"/>
      <c r="G123" s="46"/>
      <c r="H123" s="46">
        <v>15554</v>
      </c>
      <c r="I123" s="46"/>
      <c r="J123" s="46"/>
    </row>
    <row r="124" spans="1:10" ht="10.5" customHeight="1" x14ac:dyDescent="0.25">
      <c r="A124" s="43">
        <v>117</v>
      </c>
      <c r="B124" s="88" t="s">
        <v>117</v>
      </c>
      <c r="C124" s="46">
        <f>36670-557</f>
        <v>36113</v>
      </c>
      <c r="D124" s="46">
        <f>8728-3000</f>
        <v>5728</v>
      </c>
      <c r="E124" s="46">
        <f t="shared" si="1"/>
        <v>119332</v>
      </c>
      <c r="F124" s="46">
        <f>25000+560</f>
        <v>25560</v>
      </c>
      <c r="G124" s="46">
        <v>93772</v>
      </c>
      <c r="H124" s="46"/>
      <c r="I124" s="46"/>
      <c r="J124" s="46"/>
    </row>
    <row r="125" spans="1:10" ht="10.5" customHeight="1" x14ac:dyDescent="0.25">
      <c r="A125" s="43">
        <v>118</v>
      </c>
      <c r="B125" s="88" t="s">
        <v>118</v>
      </c>
      <c r="C125" s="46">
        <f>39947+522</f>
        <v>40469</v>
      </c>
      <c r="D125" s="46">
        <f>23948+522</f>
        <v>24470</v>
      </c>
      <c r="E125" s="46">
        <f t="shared" si="1"/>
        <v>78850</v>
      </c>
      <c r="F125" s="46">
        <v>29000</v>
      </c>
      <c r="G125" s="46">
        <v>49850</v>
      </c>
      <c r="H125" s="46"/>
      <c r="I125" s="46"/>
      <c r="J125" s="46"/>
    </row>
    <row r="126" spans="1:10" ht="10.5" customHeight="1" x14ac:dyDescent="0.25">
      <c r="A126" s="43">
        <v>119</v>
      </c>
      <c r="B126" s="88" t="s">
        <v>119</v>
      </c>
      <c r="C126" s="46">
        <v>13811</v>
      </c>
      <c r="D126" s="46"/>
      <c r="E126" s="46">
        <f t="shared" si="1"/>
        <v>69125</v>
      </c>
      <c r="F126" s="46">
        <v>14000</v>
      </c>
      <c r="G126" s="46">
        <v>55125</v>
      </c>
      <c r="H126" s="46"/>
      <c r="I126" s="46"/>
      <c r="J126" s="46"/>
    </row>
    <row r="127" spans="1:10" ht="10.5" customHeight="1" x14ac:dyDescent="0.25">
      <c r="A127" s="43">
        <v>120</v>
      </c>
      <c r="B127" s="88" t="s">
        <v>120</v>
      </c>
      <c r="C127" s="46">
        <v>7588</v>
      </c>
      <c r="D127" s="46"/>
      <c r="E127" s="46">
        <f t="shared" si="1"/>
        <v>39112</v>
      </c>
      <c r="F127" s="46">
        <v>11670</v>
      </c>
      <c r="G127" s="46">
        <v>27442</v>
      </c>
      <c r="H127" s="46"/>
      <c r="I127" s="46"/>
      <c r="J127" s="46"/>
    </row>
    <row r="128" spans="1:10" ht="10.5" customHeight="1" x14ac:dyDescent="0.25">
      <c r="A128" s="43">
        <v>121</v>
      </c>
      <c r="B128" s="88" t="s">
        <v>121</v>
      </c>
      <c r="C128" s="46">
        <v>41792</v>
      </c>
      <c r="D128" s="46">
        <v>38527</v>
      </c>
      <c r="E128" s="46">
        <f t="shared" si="1"/>
        <v>13026</v>
      </c>
      <c r="F128" s="46">
        <v>3046</v>
      </c>
      <c r="G128" s="46">
        <v>9980</v>
      </c>
      <c r="H128" s="46"/>
      <c r="I128" s="46"/>
      <c r="J128" s="46"/>
    </row>
    <row r="129" spans="1:10" ht="10.5" customHeight="1" x14ac:dyDescent="0.25">
      <c r="A129" s="43">
        <v>122</v>
      </c>
      <c r="B129" s="88" t="s">
        <v>122</v>
      </c>
      <c r="C129" s="46">
        <v>6501</v>
      </c>
      <c r="D129" s="46"/>
      <c r="E129" s="46">
        <f t="shared" si="1"/>
        <v>33504</v>
      </c>
      <c r="F129" s="46">
        <v>9644</v>
      </c>
      <c r="G129" s="46">
        <v>23860</v>
      </c>
      <c r="H129" s="46"/>
      <c r="I129" s="46"/>
      <c r="J129" s="46"/>
    </row>
    <row r="130" spans="1:10" ht="10.5" customHeight="1" x14ac:dyDescent="0.25">
      <c r="A130" s="43">
        <v>123</v>
      </c>
      <c r="B130" s="88" t="s">
        <v>123</v>
      </c>
      <c r="C130" s="46">
        <v>41388</v>
      </c>
      <c r="D130" s="46"/>
      <c r="E130" s="46">
        <f t="shared" si="1"/>
        <v>208637</v>
      </c>
      <c r="F130" s="46">
        <f>65000</f>
        <v>65000</v>
      </c>
      <c r="G130" s="46">
        <v>137865</v>
      </c>
      <c r="H130" s="46"/>
      <c r="I130" s="46">
        <v>5772</v>
      </c>
      <c r="J130" s="46"/>
    </row>
    <row r="131" spans="1:10" ht="10.5" customHeight="1" x14ac:dyDescent="0.25">
      <c r="A131" s="43">
        <v>124</v>
      </c>
      <c r="B131" s="88" t="s">
        <v>124</v>
      </c>
      <c r="C131" s="46">
        <f>27600+843</f>
        <v>28443</v>
      </c>
      <c r="D131" s="46"/>
      <c r="E131" s="46">
        <f t="shared" si="1"/>
        <v>59356</v>
      </c>
      <c r="F131" s="46">
        <v>12488</v>
      </c>
      <c r="G131" s="46">
        <v>46868</v>
      </c>
      <c r="H131" s="46"/>
      <c r="I131" s="46"/>
      <c r="J131" s="46"/>
    </row>
    <row r="132" spans="1:10" ht="10.5" customHeight="1" x14ac:dyDescent="0.25">
      <c r="A132" s="43">
        <v>125</v>
      </c>
      <c r="B132" s="88" t="s">
        <v>125</v>
      </c>
      <c r="C132" s="46">
        <f>15699</f>
        <v>15699</v>
      </c>
      <c r="D132" s="46"/>
      <c r="E132" s="46">
        <f t="shared" si="1"/>
        <v>79766</v>
      </c>
      <c r="F132" s="46">
        <v>20740</v>
      </c>
      <c r="G132" s="46">
        <v>59026</v>
      </c>
      <c r="H132" s="46"/>
      <c r="I132" s="46"/>
      <c r="J132" s="46"/>
    </row>
    <row r="133" spans="1:10" ht="10.5" customHeight="1" x14ac:dyDescent="0.25">
      <c r="A133" s="43">
        <v>126</v>
      </c>
      <c r="B133" s="88" t="s">
        <v>126</v>
      </c>
      <c r="C133" s="46"/>
      <c r="D133" s="46"/>
      <c r="E133" s="46">
        <f t="shared" si="1"/>
        <v>36109</v>
      </c>
      <c r="F133" s="46"/>
      <c r="G133" s="46"/>
      <c r="H133" s="46">
        <v>36109</v>
      </c>
      <c r="I133" s="46"/>
      <c r="J133" s="46"/>
    </row>
    <row r="134" spans="1:10" ht="10.5" customHeight="1" x14ac:dyDescent="0.25">
      <c r="A134" s="43">
        <v>127</v>
      </c>
      <c r="B134" s="88" t="s">
        <v>127</v>
      </c>
      <c r="C134" s="46">
        <v>26712</v>
      </c>
      <c r="D134" s="46"/>
      <c r="E134" s="46">
        <f t="shared" si="1"/>
        <v>93840</v>
      </c>
      <c r="F134" s="46">
        <v>18994</v>
      </c>
      <c r="G134" s="46">
        <v>74846</v>
      </c>
      <c r="H134" s="46"/>
      <c r="I134" s="46"/>
      <c r="J134" s="46"/>
    </row>
    <row r="135" spans="1:10" ht="10.5" customHeight="1" x14ac:dyDescent="0.25">
      <c r="A135" s="43">
        <v>128</v>
      </c>
      <c r="B135" s="88" t="s">
        <v>128</v>
      </c>
      <c r="C135" s="46">
        <f>10952</f>
        <v>10952</v>
      </c>
      <c r="D135" s="46"/>
      <c r="E135" s="46">
        <f t="shared" si="1"/>
        <v>37869</v>
      </c>
      <c r="F135" s="46">
        <v>10997</v>
      </c>
      <c r="G135" s="46">
        <v>26872</v>
      </c>
      <c r="H135" s="46"/>
      <c r="I135" s="46"/>
      <c r="J135" s="46"/>
    </row>
    <row r="136" spans="1:10" ht="10.5" customHeight="1" x14ac:dyDescent="0.25">
      <c r="A136" s="43">
        <v>129</v>
      </c>
      <c r="B136" s="88" t="s">
        <v>129</v>
      </c>
      <c r="C136" s="46">
        <v>16047</v>
      </c>
      <c r="D136" s="46"/>
      <c r="E136" s="46">
        <f t="shared" si="1"/>
        <v>55693</v>
      </c>
      <c r="F136" s="46">
        <f>12200+231</f>
        <v>12431</v>
      </c>
      <c r="G136" s="46">
        <v>43262</v>
      </c>
      <c r="H136" s="46"/>
      <c r="I136" s="46"/>
      <c r="J136" s="46"/>
    </row>
    <row r="137" spans="1:10" ht="10.5" customHeight="1" x14ac:dyDescent="0.25">
      <c r="A137" s="43">
        <v>130</v>
      </c>
      <c r="B137" s="88" t="s">
        <v>130</v>
      </c>
      <c r="C137" s="46">
        <v>28381</v>
      </c>
      <c r="D137" s="46"/>
      <c r="E137" s="46">
        <f t="shared" si="1"/>
        <v>98164</v>
      </c>
      <c r="F137" s="46">
        <v>30123</v>
      </c>
      <c r="G137" s="46">
        <v>68041</v>
      </c>
      <c r="H137" s="46"/>
      <c r="I137" s="46"/>
      <c r="J137" s="46"/>
    </row>
    <row r="138" spans="1:10" ht="10.5" customHeight="1" x14ac:dyDescent="0.25">
      <c r="A138" s="43">
        <v>131</v>
      </c>
      <c r="B138" s="88" t="s">
        <v>131</v>
      </c>
      <c r="C138" s="46">
        <v>26948</v>
      </c>
      <c r="D138" s="46"/>
      <c r="E138" s="46">
        <f t="shared" si="1"/>
        <v>93180</v>
      </c>
      <c r="F138" s="46">
        <v>17719</v>
      </c>
      <c r="G138" s="46">
        <v>75461</v>
      </c>
      <c r="H138" s="46"/>
      <c r="I138" s="46"/>
      <c r="J138" s="46"/>
    </row>
    <row r="139" spans="1:10" ht="10.5" customHeight="1" x14ac:dyDescent="0.25">
      <c r="A139" s="43">
        <v>132</v>
      </c>
      <c r="B139" s="88" t="s">
        <v>132</v>
      </c>
      <c r="C139" s="46">
        <v>15845</v>
      </c>
      <c r="D139" s="46"/>
      <c r="E139" s="46">
        <f t="shared" si="1"/>
        <v>54673</v>
      </c>
      <c r="F139" s="46">
        <v>10408</v>
      </c>
      <c r="G139" s="46">
        <v>44265</v>
      </c>
      <c r="H139" s="46"/>
      <c r="I139" s="46"/>
      <c r="J139" s="46"/>
    </row>
    <row r="140" spans="1:10" ht="10.5" customHeight="1" x14ac:dyDescent="0.25">
      <c r="A140" s="43">
        <v>133</v>
      </c>
      <c r="B140" s="88" t="s">
        <v>133</v>
      </c>
      <c r="C140" s="46">
        <v>11970</v>
      </c>
      <c r="D140" s="46"/>
      <c r="E140" s="46">
        <f t="shared" si="1"/>
        <v>41147</v>
      </c>
      <c r="F140" s="46">
        <f>10917-249</f>
        <v>10668</v>
      </c>
      <c r="G140" s="46">
        <v>30479</v>
      </c>
      <c r="H140" s="46"/>
      <c r="I140" s="46"/>
      <c r="J140" s="46"/>
    </row>
    <row r="141" spans="1:10" ht="10.5" customHeight="1" x14ac:dyDescent="0.25">
      <c r="A141" s="43">
        <v>134</v>
      </c>
      <c r="B141" s="88" t="s">
        <v>134</v>
      </c>
      <c r="C141" s="46">
        <v>17025</v>
      </c>
      <c r="D141" s="46"/>
      <c r="E141" s="46">
        <f t="shared" si="1"/>
        <v>58846</v>
      </c>
      <c r="F141" s="46">
        <v>12035</v>
      </c>
      <c r="G141" s="46">
        <v>46811</v>
      </c>
      <c r="H141" s="46"/>
      <c r="I141" s="46"/>
      <c r="J141" s="46"/>
    </row>
    <row r="142" spans="1:10" ht="10.5" customHeight="1" x14ac:dyDescent="0.25">
      <c r="A142" s="43">
        <v>135</v>
      </c>
      <c r="B142" s="88" t="s">
        <v>135</v>
      </c>
      <c r="C142" s="46">
        <v>28984</v>
      </c>
      <c r="D142" s="46"/>
      <c r="E142" s="46">
        <f t="shared" si="1"/>
        <v>100192</v>
      </c>
      <c r="F142" s="46">
        <v>23317</v>
      </c>
      <c r="G142" s="46">
        <v>76875</v>
      </c>
      <c r="H142" s="46"/>
      <c r="I142" s="46"/>
      <c r="J142" s="46"/>
    </row>
    <row r="143" spans="1:10" ht="10.5" customHeight="1" x14ac:dyDescent="0.25">
      <c r="A143" s="43">
        <v>136</v>
      </c>
      <c r="B143" s="88" t="s">
        <v>136</v>
      </c>
      <c r="C143" s="46">
        <v>13658</v>
      </c>
      <c r="D143" s="46"/>
      <c r="E143" s="46">
        <f t="shared" si="1"/>
        <v>47218</v>
      </c>
      <c r="F143" s="46">
        <v>9435</v>
      </c>
      <c r="G143" s="46">
        <v>37783</v>
      </c>
      <c r="H143" s="46"/>
      <c r="I143" s="46"/>
      <c r="J143" s="46"/>
    </row>
    <row r="144" spans="1:10" ht="10.5" customHeight="1" x14ac:dyDescent="0.25">
      <c r="A144" s="43">
        <v>137</v>
      </c>
      <c r="B144" s="48" t="s">
        <v>289</v>
      </c>
      <c r="C144" s="46"/>
      <c r="D144" s="46"/>
      <c r="E144" s="46">
        <f t="shared" si="1"/>
        <v>0</v>
      </c>
      <c r="F144" s="46">
        <v>0</v>
      </c>
      <c r="G144" s="46">
        <v>0</v>
      </c>
      <c r="H144" s="46">
        <f>200-200</f>
        <v>0</v>
      </c>
      <c r="I144" s="46"/>
      <c r="J144" s="46"/>
    </row>
    <row r="145" spans="1:12" ht="24" customHeight="1" x14ac:dyDescent="0.25">
      <c r="A145" s="43">
        <v>138</v>
      </c>
      <c r="B145" s="48" t="s">
        <v>137</v>
      </c>
      <c r="C145" s="46">
        <f>7111-165</f>
        <v>6946</v>
      </c>
      <c r="D145" s="46"/>
      <c r="E145" s="46">
        <f t="shared" si="1"/>
        <v>36654</v>
      </c>
      <c r="F145" s="46">
        <v>8384</v>
      </c>
      <c r="G145" s="46">
        <v>28270</v>
      </c>
      <c r="H145" s="46"/>
      <c r="I145" s="46"/>
      <c r="J145" s="46"/>
    </row>
    <row r="146" spans="1:12" ht="10.5" customHeight="1" x14ac:dyDescent="0.25">
      <c r="A146" s="43">
        <v>139</v>
      </c>
      <c r="B146" s="88" t="s">
        <v>42</v>
      </c>
      <c r="C146" s="46">
        <f>3495</f>
        <v>3495</v>
      </c>
      <c r="D146" s="46"/>
      <c r="E146" s="46">
        <f t="shared" si="1"/>
        <v>12357</v>
      </c>
      <c r="F146" s="46">
        <v>2626</v>
      </c>
      <c r="G146" s="46">
        <v>9731</v>
      </c>
      <c r="H146" s="46"/>
      <c r="I146" s="46"/>
      <c r="J146" s="46"/>
    </row>
    <row r="147" spans="1:12" ht="21.75" customHeight="1" x14ac:dyDescent="0.25">
      <c r="A147" s="43">
        <v>140</v>
      </c>
      <c r="B147" s="48" t="s">
        <v>290</v>
      </c>
      <c r="C147" s="46"/>
      <c r="D147" s="46"/>
      <c r="E147" s="46">
        <f t="shared" si="1"/>
        <v>5000</v>
      </c>
      <c r="F147" s="46">
        <v>0</v>
      </c>
      <c r="G147" s="46">
        <v>0</v>
      </c>
      <c r="H147" s="46">
        <v>5000</v>
      </c>
      <c r="I147" s="46"/>
      <c r="J147" s="46"/>
    </row>
    <row r="148" spans="1:12" ht="10.5" customHeight="1" x14ac:dyDescent="0.25">
      <c r="A148" s="43">
        <v>141</v>
      </c>
      <c r="B148" s="88" t="s">
        <v>212</v>
      </c>
      <c r="C148" s="46">
        <v>2523</v>
      </c>
      <c r="D148" s="46"/>
      <c r="E148" s="46">
        <f t="shared" si="1"/>
        <v>9780</v>
      </c>
      <c r="F148" s="46">
        <v>2203</v>
      </c>
      <c r="G148" s="46">
        <v>7577</v>
      </c>
      <c r="H148" s="46"/>
      <c r="I148" s="46"/>
      <c r="J148" s="46"/>
    </row>
    <row r="149" spans="1:12" ht="10.5" customHeight="1" x14ac:dyDescent="0.25">
      <c r="A149" s="43">
        <v>142</v>
      </c>
      <c r="B149" s="48" t="s">
        <v>138</v>
      </c>
      <c r="C149" s="46"/>
      <c r="D149" s="46"/>
      <c r="E149" s="46">
        <f t="shared" si="1"/>
        <v>1500</v>
      </c>
      <c r="F149" s="46"/>
      <c r="G149" s="46"/>
      <c r="H149" s="46">
        <f>1500</f>
        <v>1500</v>
      </c>
      <c r="I149" s="46"/>
      <c r="J149" s="46"/>
    </row>
    <row r="150" spans="1:12" ht="10.5" customHeight="1" x14ac:dyDescent="0.25">
      <c r="A150" s="43">
        <v>143</v>
      </c>
      <c r="B150" s="48" t="s">
        <v>180</v>
      </c>
      <c r="C150" s="46"/>
      <c r="D150" s="46"/>
      <c r="E150" s="46">
        <f t="shared" ref="E150:E179" si="2">F150+G150+H150+I150+J150</f>
        <v>166</v>
      </c>
      <c r="F150" s="46"/>
      <c r="G150" s="46"/>
      <c r="H150" s="46"/>
      <c r="I150" s="46"/>
      <c r="J150" s="46">
        <f>96+9+129-68</f>
        <v>166</v>
      </c>
      <c r="L150" s="106"/>
    </row>
    <row r="151" spans="1:12" ht="10.5" customHeight="1" x14ac:dyDescent="0.25">
      <c r="A151" s="43">
        <v>144</v>
      </c>
      <c r="B151" s="48" t="s">
        <v>319</v>
      </c>
      <c r="C151" s="46"/>
      <c r="D151" s="46"/>
      <c r="E151" s="46">
        <f t="shared" si="2"/>
        <v>68</v>
      </c>
      <c r="F151" s="46"/>
      <c r="G151" s="46"/>
      <c r="H151" s="46"/>
      <c r="I151" s="46"/>
      <c r="J151" s="46">
        <v>68</v>
      </c>
      <c r="L151" s="106"/>
    </row>
    <row r="152" spans="1:12" ht="10.5" customHeight="1" x14ac:dyDescent="0.25">
      <c r="A152" s="43">
        <v>145</v>
      </c>
      <c r="B152" s="88" t="s">
        <v>291</v>
      </c>
      <c r="C152" s="46">
        <v>500</v>
      </c>
      <c r="D152" s="46"/>
      <c r="E152" s="46">
        <f t="shared" si="2"/>
        <v>900</v>
      </c>
      <c r="F152" s="46"/>
      <c r="G152" s="46"/>
      <c r="H152" s="46">
        <v>900</v>
      </c>
      <c r="I152" s="46"/>
      <c r="J152" s="46"/>
      <c r="L152" s="106"/>
    </row>
    <row r="153" spans="1:12" ht="10.5" customHeight="1" x14ac:dyDescent="0.25">
      <c r="A153" s="43">
        <v>146</v>
      </c>
      <c r="B153" s="88" t="s">
        <v>292</v>
      </c>
      <c r="C153" s="46">
        <v>500</v>
      </c>
      <c r="D153" s="46"/>
      <c r="E153" s="46">
        <f t="shared" si="2"/>
        <v>1000</v>
      </c>
      <c r="F153" s="46"/>
      <c r="G153" s="46"/>
      <c r="H153" s="46">
        <f>1000</f>
        <v>1000</v>
      </c>
      <c r="I153" s="46"/>
      <c r="J153" s="46"/>
      <c r="L153" s="106"/>
    </row>
    <row r="154" spans="1:12" ht="10.5" customHeight="1" x14ac:dyDescent="0.25">
      <c r="A154" s="43">
        <v>147</v>
      </c>
      <c r="B154" s="88" t="s">
        <v>320</v>
      </c>
      <c r="C154" s="46"/>
      <c r="D154" s="46"/>
      <c r="E154" s="46">
        <f t="shared" si="2"/>
        <v>300</v>
      </c>
      <c r="F154" s="46"/>
      <c r="G154" s="46"/>
      <c r="H154" s="46">
        <v>300</v>
      </c>
      <c r="I154" s="46"/>
      <c r="J154" s="46"/>
      <c r="L154" s="106"/>
    </row>
    <row r="155" spans="1:12" ht="10.5" customHeight="1" x14ac:dyDescent="0.25">
      <c r="A155" s="43">
        <v>148</v>
      </c>
      <c r="B155" s="88" t="s">
        <v>321</v>
      </c>
      <c r="C155" s="46"/>
      <c r="D155" s="46"/>
      <c r="E155" s="46">
        <f t="shared" si="2"/>
        <v>90</v>
      </c>
      <c r="F155" s="46"/>
      <c r="G155" s="46"/>
      <c r="H155" s="46">
        <f>400-250-60</f>
        <v>90</v>
      </c>
      <c r="I155" s="46"/>
      <c r="J155" s="46"/>
      <c r="L155" s="106"/>
    </row>
    <row r="156" spans="1:12" ht="10.5" customHeight="1" x14ac:dyDescent="0.25">
      <c r="A156" s="43">
        <v>149</v>
      </c>
      <c r="B156" s="88" t="s">
        <v>216</v>
      </c>
      <c r="C156" s="46"/>
      <c r="D156" s="46"/>
      <c r="E156" s="46">
        <f t="shared" si="2"/>
        <v>1449</v>
      </c>
      <c r="F156" s="46"/>
      <c r="G156" s="46"/>
      <c r="H156" s="46"/>
      <c r="I156" s="46"/>
      <c r="J156" s="46">
        <f>960+145+344</f>
        <v>1449</v>
      </c>
      <c r="L156" s="106"/>
    </row>
    <row r="157" spans="1:12" ht="10.5" customHeight="1" x14ac:dyDescent="0.25">
      <c r="A157" s="43">
        <v>150</v>
      </c>
      <c r="B157" s="88" t="s">
        <v>293</v>
      </c>
      <c r="C157" s="46">
        <v>500</v>
      </c>
      <c r="D157" s="46"/>
      <c r="E157" s="46">
        <f t="shared" si="2"/>
        <v>200</v>
      </c>
      <c r="F157" s="46"/>
      <c r="G157" s="46"/>
      <c r="H157" s="46">
        <v>200</v>
      </c>
      <c r="I157" s="46"/>
      <c r="J157" s="46"/>
      <c r="L157" s="106"/>
    </row>
    <row r="158" spans="1:12" ht="10.5" customHeight="1" x14ac:dyDescent="0.25">
      <c r="A158" s="43">
        <v>151</v>
      </c>
      <c r="B158" s="88" t="s">
        <v>322</v>
      </c>
      <c r="C158" s="46"/>
      <c r="D158" s="46"/>
      <c r="E158" s="46">
        <f t="shared" si="2"/>
        <v>200</v>
      </c>
      <c r="F158" s="46"/>
      <c r="G158" s="46"/>
      <c r="H158" s="46">
        <v>200</v>
      </c>
      <c r="I158" s="46"/>
      <c r="J158" s="46"/>
      <c r="L158" s="106"/>
    </row>
    <row r="159" spans="1:12" ht="10.5" customHeight="1" x14ac:dyDescent="0.25">
      <c r="A159" s="43">
        <v>152</v>
      </c>
      <c r="B159" s="88" t="s">
        <v>323</v>
      </c>
      <c r="C159" s="46"/>
      <c r="D159" s="46"/>
      <c r="E159" s="46">
        <f t="shared" si="2"/>
        <v>200</v>
      </c>
      <c r="F159" s="46"/>
      <c r="G159" s="46"/>
      <c r="H159" s="46">
        <v>200</v>
      </c>
      <c r="I159" s="46"/>
      <c r="J159" s="46"/>
      <c r="L159" s="106"/>
    </row>
    <row r="160" spans="1:12" ht="10.5" customHeight="1" x14ac:dyDescent="0.25">
      <c r="A160" s="43">
        <v>153</v>
      </c>
      <c r="B160" s="88" t="s">
        <v>218</v>
      </c>
      <c r="C160" s="46"/>
      <c r="D160" s="46"/>
      <c r="E160" s="46">
        <f t="shared" si="2"/>
        <v>200</v>
      </c>
      <c r="F160" s="46"/>
      <c r="G160" s="46"/>
      <c r="H160" s="46">
        <v>200</v>
      </c>
      <c r="I160" s="46"/>
      <c r="J160" s="46"/>
      <c r="L160" s="106"/>
    </row>
    <row r="161" spans="1:16" ht="10.5" customHeight="1" x14ac:dyDescent="0.25">
      <c r="A161" s="43">
        <v>154</v>
      </c>
      <c r="B161" s="88" t="s">
        <v>294</v>
      </c>
      <c r="C161" s="46"/>
      <c r="D161" s="46"/>
      <c r="E161" s="46">
        <f t="shared" si="2"/>
        <v>0</v>
      </c>
      <c r="F161" s="46"/>
      <c r="G161" s="46"/>
      <c r="H161" s="46">
        <f>200-200</f>
        <v>0</v>
      </c>
      <c r="I161" s="46"/>
      <c r="J161" s="46"/>
      <c r="L161" s="106"/>
    </row>
    <row r="162" spans="1:16" ht="10.5" customHeight="1" x14ac:dyDescent="0.25">
      <c r="A162" s="43">
        <v>155</v>
      </c>
      <c r="B162" s="88" t="s">
        <v>219</v>
      </c>
      <c r="C162" s="46"/>
      <c r="D162" s="46"/>
      <c r="E162" s="46">
        <f t="shared" si="2"/>
        <v>258</v>
      </c>
      <c r="F162" s="46"/>
      <c r="G162" s="46"/>
      <c r="H162" s="46"/>
      <c r="I162" s="46"/>
      <c r="J162" s="46">
        <f>120+102+36</f>
        <v>258</v>
      </c>
      <c r="L162" s="106"/>
    </row>
    <row r="163" spans="1:16" ht="10.5" customHeight="1" x14ac:dyDescent="0.25">
      <c r="A163" s="43">
        <v>156</v>
      </c>
      <c r="B163" s="94" t="s">
        <v>295</v>
      </c>
      <c r="C163" s="46"/>
      <c r="D163" s="46"/>
      <c r="E163" s="46">
        <f t="shared" si="2"/>
        <v>200</v>
      </c>
      <c r="F163" s="46"/>
      <c r="G163" s="46"/>
      <c r="H163" s="46">
        <v>200</v>
      </c>
      <c r="I163" s="46"/>
      <c r="J163" s="46"/>
      <c r="L163" s="106"/>
    </row>
    <row r="164" spans="1:16" ht="10.5" customHeight="1" x14ac:dyDescent="0.25">
      <c r="A164" s="43">
        <v>157</v>
      </c>
      <c r="B164" s="94" t="s">
        <v>324</v>
      </c>
      <c r="C164" s="46"/>
      <c r="D164" s="46"/>
      <c r="E164" s="46">
        <f t="shared" si="2"/>
        <v>414</v>
      </c>
      <c r="F164" s="46"/>
      <c r="G164" s="46"/>
      <c r="H164" s="46"/>
      <c r="I164" s="46"/>
      <c r="J164" s="46">
        <f>342+3+69</f>
        <v>414</v>
      </c>
      <c r="L164" s="106"/>
    </row>
    <row r="165" spans="1:16" ht="10.5" customHeight="1" x14ac:dyDescent="0.25">
      <c r="A165" s="43">
        <v>158</v>
      </c>
      <c r="B165" s="94" t="s">
        <v>296</v>
      </c>
      <c r="C165" s="46">
        <v>500</v>
      </c>
      <c r="D165" s="46"/>
      <c r="E165" s="46">
        <f t="shared" si="2"/>
        <v>900</v>
      </c>
      <c r="F165" s="46"/>
      <c r="G165" s="46"/>
      <c r="H165" s="46">
        <v>900</v>
      </c>
      <c r="I165" s="46"/>
      <c r="J165" s="46"/>
      <c r="L165" s="106"/>
    </row>
    <row r="166" spans="1:16" ht="10.5" customHeight="1" x14ac:dyDescent="0.25">
      <c r="A166" s="43">
        <v>159</v>
      </c>
      <c r="B166" s="88" t="s">
        <v>297</v>
      </c>
      <c r="C166" s="46">
        <v>500</v>
      </c>
      <c r="D166" s="46"/>
      <c r="E166" s="46">
        <f t="shared" si="2"/>
        <v>1000</v>
      </c>
      <c r="F166" s="46"/>
      <c r="G166" s="46"/>
      <c r="H166" s="46">
        <v>1000</v>
      </c>
      <c r="I166" s="46"/>
      <c r="J166" s="46"/>
      <c r="L166" s="106"/>
    </row>
    <row r="167" spans="1:16" ht="10.5" customHeight="1" x14ac:dyDescent="0.25">
      <c r="A167" s="43">
        <v>160</v>
      </c>
      <c r="B167" s="88" t="s">
        <v>221</v>
      </c>
      <c r="C167" s="46"/>
      <c r="D167" s="46"/>
      <c r="E167" s="46">
        <f t="shared" si="2"/>
        <v>108</v>
      </c>
      <c r="F167" s="46"/>
      <c r="G167" s="46"/>
      <c r="H167" s="46"/>
      <c r="I167" s="46"/>
      <c r="J167" s="46">
        <v>108</v>
      </c>
      <c r="L167" s="106"/>
    </row>
    <row r="168" spans="1:16" ht="10.5" customHeight="1" x14ac:dyDescent="0.25">
      <c r="A168" s="43">
        <v>161</v>
      </c>
      <c r="B168" s="88" t="s">
        <v>40</v>
      </c>
      <c r="C168" s="46"/>
      <c r="D168" s="46"/>
      <c r="E168" s="46">
        <f t="shared" si="2"/>
        <v>120</v>
      </c>
      <c r="F168" s="46"/>
      <c r="G168" s="46"/>
      <c r="H168" s="46"/>
      <c r="I168" s="46">
        <v>120</v>
      </c>
      <c r="J168" s="46"/>
      <c r="L168" s="106"/>
    </row>
    <row r="169" spans="1:16" ht="10.5" customHeight="1" x14ac:dyDescent="0.25">
      <c r="A169" s="43">
        <v>162</v>
      </c>
      <c r="B169" s="88" t="s">
        <v>298</v>
      </c>
      <c r="C169" s="46"/>
      <c r="D169" s="46"/>
      <c r="E169" s="46">
        <f t="shared" si="2"/>
        <v>17950</v>
      </c>
      <c r="F169" s="46"/>
      <c r="G169" s="46"/>
      <c r="H169" s="46">
        <f>16242+135+356+156+216+505+340</f>
        <v>17950</v>
      </c>
      <c r="I169" s="46"/>
      <c r="J169" s="46"/>
      <c r="L169" s="106"/>
    </row>
    <row r="170" spans="1:16" ht="10.5" customHeight="1" x14ac:dyDescent="0.25">
      <c r="A170" s="43">
        <v>163</v>
      </c>
      <c r="B170" s="88" t="s">
        <v>143</v>
      </c>
      <c r="C170" s="46">
        <v>11775</v>
      </c>
      <c r="D170" s="46">
        <v>11775</v>
      </c>
      <c r="E170" s="46">
        <f t="shared" si="2"/>
        <v>26500</v>
      </c>
      <c r="F170" s="46"/>
      <c r="G170" s="46"/>
      <c r="H170" s="46">
        <v>26500</v>
      </c>
      <c r="I170" s="46"/>
      <c r="J170" s="46"/>
      <c r="L170" s="106"/>
    </row>
    <row r="171" spans="1:16" ht="10.5" customHeight="1" x14ac:dyDescent="0.25">
      <c r="A171" s="43">
        <v>164</v>
      </c>
      <c r="B171" s="88" t="s">
        <v>144</v>
      </c>
      <c r="C171" s="46"/>
      <c r="D171" s="46"/>
      <c r="E171" s="46">
        <f t="shared" si="2"/>
        <v>39778</v>
      </c>
      <c r="F171" s="46"/>
      <c r="G171" s="46"/>
      <c r="H171" s="46">
        <v>39778</v>
      </c>
      <c r="I171" s="46"/>
      <c r="J171" s="46"/>
      <c r="L171" s="106"/>
    </row>
    <row r="172" spans="1:16" ht="10.5" customHeight="1" x14ac:dyDescent="0.25">
      <c r="A172" s="43">
        <v>165</v>
      </c>
      <c r="B172" s="88" t="s">
        <v>222</v>
      </c>
      <c r="C172" s="46">
        <f>13000+125</f>
        <v>13125</v>
      </c>
      <c r="D172" s="46">
        <f>9924+125</f>
        <v>10049</v>
      </c>
      <c r="E172" s="46">
        <f t="shared" si="2"/>
        <v>183</v>
      </c>
      <c r="F172" s="46"/>
      <c r="G172" s="46"/>
      <c r="H172" s="46">
        <v>0</v>
      </c>
      <c r="I172" s="46"/>
      <c r="J172" s="46">
        <f>36+147</f>
        <v>183</v>
      </c>
      <c r="L172" s="106"/>
    </row>
    <row r="173" spans="1:16" ht="10.5" customHeight="1" x14ac:dyDescent="0.25">
      <c r="A173" s="43">
        <v>166</v>
      </c>
      <c r="B173" s="88" t="s">
        <v>36</v>
      </c>
      <c r="C173" s="46"/>
      <c r="D173" s="46"/>
      <c r="E173" s="46">
        <f t="shared" si="2"/>
        <v>34675</v>
      </c>
      <c r="F173" s="46"/>
      <c r="G173" s="46"/>
      <c r="H173" s="46">
        <f>38475-2300-1500</f>
        <v>34675</v>
      </c>
      <c r="I173" s="46"/>
      <c r="J173" s="46"/>
      <c r="L173" s="106"/>
    </row>
    <row r="174" spans="1:16" ht="10.5" customHeight="1" x14ac:dyDescent="0.25">
      <c r="A174" s="43">
        <v>167</v>
      </c>
      <c r="B174" s="88" t="s">
        <v>1</v>
      </c>
      <c r="C174" s="46">
        <f>30000+560</f>
        <v>30560</v>
      </c>
      <c r="D174" s="46"/>
      <c r="E174" s="46">
        <f t="shared" si="2"/>
        <v>0</v>
      </c>
      <c r="F174" s="46"/>
      <c r="G174" s="46"/>
      <c r="H174" s="46"/>
      <c r="I174" s="46"/>
      <c r="J174" s="46"/>
      <c r="L174" s="106"/>
    </row>
    <row r="175" spans="1:16" ht="10.5" customHeight="1" x14ac:dyDescent="0.25">
      <c r="A175" s="43">
        <v>168</v>
      </c>
      <c r="B175" s="88" t="s">
        <v>226</v>
      </c>
      <c r="C175" s="46">
        <f>44380+302</f>
        <v>44682</v>
      </c>
      <c r="D175" s="46">
        <f>33620-9620+302</f>
        <v>24302</v>
      </c>
      <c r="E175" s="46">
        <f t="shared" si="2"/>
        <v>64601</v>
      </c>
      <c r="F175" s="46">
        <v>14337</v>
      </c>
      <c r="G175" s="46">
        <v>50264</v>
      </c>
      <c r="H175" s="46"/>
      <c r="I175" s="46"/>
      <c r="J175" s="46"/>
      <c r="L175" s="106"/>
    </row>
    <row r="176" spans="1:16" s="104" customFormat="1" ht="44.25" customHeight="1" x14ac:dyDescent="0.25">
      <c r="A176" s="43">
        <v>169</v>
      </c>
      <c r="B176" s="31" t="s">
        <v>227</v>
      </c>
      <c r="C176" s="103">
        <v>32602</v>
      </c>
      <c r="D176" s="46"/>
      <c r="E176" s="46">
        <f t="shared" si="2"/>
        <v>129323</v>
      </c>
      <c r="F176" s="103">
        <v>26260</v>
      </c>
      <c r="G176" s="103">
        <v>103063</v>
      </c>
      <c r="H176" s="103"/>
      <c r="I176" s="103"/>
      <c r="J176" s="103"/>
      <c r="K176" s="99"/>
      <c r="L176" s="106"/>
      <c r="M176" s="99"/>
      <c r="N176" s="99"/>
      <c r="O176" s="99"/>
      <c r="P176" s="99"/>
    </row>
    <row r="177" spans="1:16" ht="10.5" customHeight="1" x14ac:dyDescent="0.25">
      <c r="A177" s="43">
        <v>170</v>
      </c>
      <c r="B177" s="88" t="s">
        <v>148</v>
      </c>
      <c r="C177" s="46">
        <f>4000+100</f>
        <v>4100</v>
      </c>
      <c r="D177" s="46"/>
      <c r="E177" s="46">
        <f t="shared" si="2"/>
        <v>0</v>
      </c>
      <c r="F177" s="46"/>
      <c r="G177" s="46"/>
      <c r="H177" s="46"/>
      <c r="I177" s="46"/>
      <c r="J177" s="46"/>
      <c r="K177" s="104"/>
      <c r="L177" s="106"/>
      <c r="M177" s="104"/>
      <c r="N177" s="104"/>
      <c r="O177" s="104"/>
      <c r="P177" s="104"/>
    </row>
    <row r="178" spans="1:16" ht="10.5" customHeight="1" x14ac:dyDescent="0.25">
      <c r="A178" s="43">
        <v>171</v>
      </c>
      <c r="B178" s="88" t="s">
        <v>149</v>
      </c>
      <c r="C178" s="46"/>
      <c r="D178" s="46"/>
      <c r="E178" s="46">
        <f t="shared" si="2"/>
        <v>1000</v>
      </c>
      <c r="F178" s="46"/>
      <c r="G178" s="46"/>
      <c r="H178" s="46">
        <v>1000</v>
      </c>
      <c r="I178" s="46"/>
      <c r="J178" s="46"/>
      <c r="L178" s="106"/>
    </row>
    <row r="179" spans="1:16" ht="10.5" customHeight="1" x14ac:dyDescent="0.25">
      <c r="A179" s="107"/>
      <c r="B179" s="88" t="s">
        <v>150</v>
      </c>
      <c r="C179" s="46"/>
      <c r="D179" s="46"/>
      <c r="E179" s="46">
        <f t="shared" si="2"/>
        <v>1950</v>
      </c>
      <c r="F179" s="46"/>
      <c r="G179" s="46"/>
      <c r="H179" s="46">
        <v>1700</v>
      </c>
      <c r="I179" s="46"/>
      <c r="J179" s="46">
        <f>1234-259-725</f>
        <v>250</v>
      </c>
      <c r="L179" s="106"/>
    </row>
    <row r="180" spans="1:16" ht="10.5" customHeight="1" x14ac:dyDescent="0.25">
      <c r="A180" s="107"/>
      <c r="B180" s="88" t="s">
        <v>151</v>
      </c>
      <c r="C180" s="46">
        <f>9204-500</f>
        <v>8704</v>
      </c>
      <c r="D180" s="46"/>
      <c r="E180" s="46">
        <v>16015</v>
      </c>
      <c r="F180" s="46"/>
      <c r="G180" s="46"/>
      <c r="H180" s="46"/>
      <c r="I180" s="46"/>
      <c r="J180" s="46"/>
      <c r="L180" s="106"/>
    </row>
    <row r="181" spans="1:16" s="110" customFormat="1" ht="10.5" customHeight="1" x14ac:dyDescent="0.25">
      <c r="A181" s="108"/>
      <c r="B181" s="109" t="s">
        <v>12</v>
      </c>
      <c r="C181" s="95">
        <f>SUM(C8:C178)+C179+C180</f>
        <v>2273489</v>
      </c>
      <c r="D181" s="95">
        <f>D65+D101+D102+D124+D125+D128+D170+D172+D175</f>
        <v>135244</v>
      </c>
      <c r="E181" s="95">
        <f t="shared" ref="E181:J181" si="3">SUM(E8:E178)+E179+E180</f>
        <v>8038408</v>
      </c>
      <c r="F181" s="95">
        <f t="shared" si="3"/>
        <v>1778099</v>
      </c>
      <c r="G181" s="95">
        <f t="shared" si="3"/>
        <v>5569286</v>
      </c>
      <c r="H181" s="95">
        <f t="shared" si="3"/>
        <v>590085</v>
      </c>
      <c r="I181" s="95">
        <f t="shared" si="3"/>
        <v>82027</v>
      </c>
      <c r="J181" s="95">
        <f t="shared" si="3"/>
        <v>2896</v>
      </c>
      <c r="K181" s="99"/>
      <c r="L181" s="106"/>
      <c r="M181" s="99"/>
      <c r="N181" s="99"/>
      <c r="O181" s="99"/>
      <c r="P181" s="99"/>
    </row>
  </sheetData>
  <mergeCells count="12">
    <mergeCell ref="I5:I6"/>
    <mergeCell ref="J5:J6"/>
    <mergeCell ref="A1:J2"/>
    <mergeCell ref="A3:A6"/>
    <mergeCell ref="B3:B6"/>
    <mergeCell ref="C3:C6"/>
    <mergeCell ref="D3:D6"/>
    <mergeCell ref="E3:J3"/>
    <mergeCell ref="E4:E6"/>
    <mergeCell ref="F4:J4"/>
    <mergeCell ref="F5:G5"/>
    <mergeCell ref="H5:H6"/>
  </mergeCells>
  <pageMargins left="0.51181102362204722" right="0" top="0" bottom="0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A20" sqref="A20:XFD21"/>
    </sheetView>
  </sheetViews>
  <sheetFormatPr defaultRowHeight="12" x14ac:dyDescent="0.2"/>
  <cols>
    <col min="1" max="1" width="4.5703125" style="49" customWidth="1"/>
    <col min="2" max="2" width="20.42578125" style="49" customWidth="1"/>
    <col min="3" max="6" width="9.28515625" style="49" bestFit="1" customWidth="1"/>
    <col min="7" max="7" width="11" style="49" customWidth="1"/>
    <col min="8" max="8" width="10.7109375" style="49" customWidth="1"/>
    <col min="9" max="9" width="10.85546875" style="49" customWidth="1"/>
    <col min="10" max="12" width="11.5703125" style="49" customWidth="1"/>
    <col min="13" max="13" width="11.7109375" style="49" customWidth="1"/>
    <col min="14" max="14" width="11.140625" style="49" customWidth="1"/>
    <col min="15" max="15" width="11" style="49" customWidth="1"/>
    <col min="16" max="16" width="9.28515625" style="49" bestFit="1" customWidth="1"/>
    <col min="17" max="17" width="10.85546875" style="49" customWidth="1"/>
    <col min="18" max="18" width="11.28515625" style="49" customWidth="1"/>
    <col min="19" max="19" width="10" style="49" bestFit="1" customWidth="1"/>
    <col min="20" max="20" width="11" style="49" customWidth="1"/>
    <col min="21" max="21" width="13.140625" style="49" customWidth="1"/>
    <col min="22" max="16384" width="9.140625" style="49"/>
  </cols>
  <sheetData>
    <row r="1" spans="1:21" ht="19.5" customHeight="1" x14ac:dyDescent="0.2">
      <c r="B1" s="50"/>
      <c r="C1" s="198" t="s">
        <v>152</v>
      </c>
      <c r="D1" s="199"/>
      <c r="E1" s="199"/>
      <c r="F1" s="199"/>
      <c r="G1" s="199"/>
      <c r="H1" s="199"/>
      <c r="I1" s="199"/>
      <c r="J1" s="199"/>
      <c r="K1" s="51"/>
      <c r="L1" s="50"/>
      <c r="M1" s="50"/>
      <c r="N1" s="50"/>
      <c r="O1" s="50"/>
      <c r="P1" s="50"/>
      <c r="Q1" s="50"/>
      <c r="R1" s="50"/>
      <c r="S1" s="50"/>
      <c r="T1" s="50"/>
    </row>
    <row r="2" spans="1:21" x14ac:dyDescent="0.2">
      <c r="T2" s="52" t="s">
        <v>153</v>
      </c>
    </row>
    <row r="3" spans="1:21" ht="62.25" customHeight="1" x14ac:dyDescent="0.2">
      <c r="A3" s="200" t="s">
        <v>48</v>
      </c>
      <c r="B3" s="200" t="s">
        <v>154</v>
      </c>
      <c r="C3" s="201" t="s">
        <v>155</v>
      </c>
      <c r="D3" s="202" t="s">
        <v>156</v>
      </c>
      <c r="E3" s="203"/>
      <c r="F3" s="204"/>
      <c r="G3" s="200" t="s">
        <v>157</v>
      </c>
      <c r="H3" s="200"/>
      <c r="I3" s="200"/>
      <c r="J3" s="200"/>
      <c r="K3" s="44" t="s">
        <v>158</v>
      </c>
      <c r="L3" s="205" t="s">
        <v>159</v>
      </c>
      <c r="M3" s="206"/>
      <c r="N3" s="200" t="s">
        <v>160</v>
      </c>
      <c r="O3" s="200"/>
      <c r="P3" s="200"/>
      <c r="Q3" s="200" t="s">
        <v>161</v>
      </c>
      <c r="R3" s="200"/>
      <c r="S3" s="200"/>
      <c r="T3" s="200"/>
    </row>
    <row r="4" spans="1:21" ht="21" customHeight="1" x14ac:dyDescent="0.2">
      <c r="A4" s="200"/>
      <c r="B4" s="200"/>
      <c r="C4" s="201"/>
      <c r="D4" s="207" t="s">
        <v>162</v>
      </c>
      <c r="E4" s="207" t="s">
        <v>163</v>
      </c>
      <c r="F4" s="207" t="s">
        <v>164</v>
      </c>
      <c r="G4" s="200" t="s">
        <v>165</v>
      </c>
      <c r="H4" s="200" t="s">
        <v>166</v>
      </c>
      <c r="I4" s="200" t="s">
        <v>167</v>
      </c>
      <c r="J4" s="200"/>
      <c r="K4" s="200" t="s">
        <v>166</v>
      </c>
      <c r="L4" s="200" t="s">
        <v>165</v>
      </c>
      <c r="M4" s="200" t="s">
        <v>166</v>
      </c>
      <c r="N4" s="200" t="s">
        <v>165</v>
      </c>
      <c r="O4" s="200" t="s">
        <v>168</v>
      </c>
      <c r="P4" s="200" t="s">
        <v>169</v>
      </c>
      <c r="Q4" s="200" t="s">
        <v>165</v>
      </c>
      <c r="R4" s="200" t="s">
        <v>166</v>
      </c>
      <c r="S4" s="200" t="s">
        <v>169</v>
      </c>
      <c r="T4" s="200" t="s">
        <v>170</v>
      </c>
    </row>
    <row r="5" spans="1:21" ht="72" x14ac:dyDescent="0.2">
      <c r="A5" s="200"/>
      <c r="B5" s="200"/>
      <c r="C5" s="201"/>
      <c r="D5" s="208"/>
      <c r="E5" s="208"/>
      <c r="F5" s="208"/>
      <c r="G5" s="200"/>
      <c r="H5" s="200"/>
      <c r="I5" s="44" t="s">
        <v>171</v>
      </c>
      <c r="J5" s="44" t="s">
        <v>172</v>
      </c>
      <c r="K5" s="200"/>
      <c r="L5" s="200"/>
      <c r="M5" s="200"/>
      <c r="N5" s="200"/>
      <c r="O5" s="200"/>
      <c r="P5" s="200"/>
      <c r="Q5" s="200"/>
      <c r="R5" s="200"/>
      <c r="S5" s="200"/>
      <c r="T5" s="200"/>
    </row>
    <row r="6" spans="1:21" ht="23.25" customHeight="1" x14ac:dyDescent="0.2">
      <c r="A6" s="53">
        <v>1</v>
      </c>
      <c r="B6" s="54" t="s">
        <v>173</v>
      </c>
      <c r="C6" s="45">
        <f>G6+H6+I6+J6+M6+N6+O6+P6+Q6+R6+S6+T6+K6+L6</f>
        <v>12713</v>
      </c>
      <c r="D6" s="45">
        <f t="shared" ref="D6:D17" si="0">G6+H6+I6+J6+K6</f>
        <v>1956</v>
      </c>
      <c r="E6" s="45">
        <f>M6+N6+O6+P6+L6</f>
        <v>664</v>
      </c>
      <c r="F6" s="45">
        <f>Q6+R6+S6+T6</f>
        <v>10093</v>
      </c>
      <c r="G6" s="44"/>
      <c r="H6" s="44">
        <v>196</v>
      </c>
      <c r="I6" s="44">
        <f>40-20</f>
        <v>20</v>
      </c>
      <c r="J6" s="44">
        <v>10</v>
      </c>
      <c r="K6" s="44">
        <f>335+123+84+445+252+491</f>
        <v>1730</v>
      </c>
      <c r="L6" s="44"/>
      <c r="M6" s="44"/>
      <c r="N6" s="44"/>
      <c r="O6" s="45">
        <f>1404+3-252-491</f>
        <v>664</v>
      </c>
      <c r="P6" s="44"/>
      <c r="Q6" s="44">
        <v>323</v>
      </c>
      <c r="R6" s="45">
        <f>6020+54</f>
        <v>6074</v>
      </c>
      <c r="S6" s="45">
        <v>3696</v>
      </c>
      <c r="T6" s="44"/>
    </row>
    <row r="7" spans="1:21" ht="15.75" customHeight="1" x14ac:dyDescent="0.2">
      <c r="A7" s="53">
        <v>2</v>
      </c>
      <c r="B7" s="54" t="s">
        <v>174</v>
      </c>
      <c r="C7" s="45">
        <f t="shared" ref="C7:C17" si="1">G7+H7+I7+J7+M7+N7+O7+P7+Q7+R7+S7+T7+K7+L7</f>
        <v>10</v>
      </c>
      <c r="D7" s="45">
        <f t="shared" si="0"/>
        <v>10</v>
      </c>
      <c r="E7" s="45">
        <f t="shared" ref="E7:E17" si="2">M7+N7+O7+P7+L7</f>
        <v>0</v>
      </c>
      <c r="F7" s="45">
        <f t="shared" ref="F7:F17" si="3">Q7+R7+S7+T7</f>
        <v>0</v>
      </c>
      <c r="G7" s="44"/>
      <c r="H7" s="44"/>
      <c r="I7" s="44">
        <v>10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1" x14ac:dyDescent="0.2">
      <c r="A8" s="53">
        <v>3</v>
      </c>
      <c r="B8" s="54" t="s">
        <v>11</v>
      </c>
      <c r="C8" s="45">
        <f t="shared" si="1"/>
        <v>40</v>
      </c>
      <c r="D8" s="45">
        <f t="shared" si="0"/>
        <v>40</v>
      </c>
      <c r="E8" s="45">
        <f t="shared" si="2"/>
        <v>0</v>
      </c>
      <c r="F8" s="45">
        <f t="shared" si="3"/>
        <v>0</v>
      </c>
      <c r="G8" s="44"/>
      <c r="H8" s="44"/>
      <c r="I8" s="44">
        <f>60-20</f>
        <v>40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56"/>
    </row>
    <row r="9" spans="1:21" ht="15" customHeight="1" x14ac:dyDescent="0.2">
      <c r="A9" s="53">
        <v>4</v>
      </c>
      <c r="B9" s="54" t="s">
        <v>175</v>
      </c>
      <c r="C9" s="45">
        <f t="shared" si="1"/>
        <v>2944</v>
      </c>
      <c r="D9" s="45">
        <f t="shared" si="0"/>
        <v>2</v>
      </c>
      <c r="E9" s="45">
        <f t="shared" si="2"/>
        <v>468</v>
      </c>
      <c r="F9" s="45">
        <f t="shared" si="3"/>
        <v>2474</v>
      </c>
      <c r="G9" s="44"/>
      <c r="H9" s="44">
        <v>2</v>
      </c>
      <c r="I9" s="44"/>
      <c r="J9" s="44"/>
      <c r="K9" s="44"/>
      <c r="L9" s="44"/>
      <c r="M9" s="44"/>
      <c r="N9" s="44"/>
      <c r="O9" s="44">
        <v>312</v>
      </c>
      <c r="P9" s="44">
        <v>156</v>
      </c>
      <c r="Q9" s="44">
        <f>288+15</f>
        <v>303</v>
      </c>
      <c r="R9" s="44">
        <f>416+12</f>
        <v>428</v>
      </c>
      <c r="S9" s="44">
        <f>211+28</f>
        <v>239</v>
      </c>
      <c r="T9" s="45">
        <f>1095+78+331</f>
        <v>1504</v>
      </c>
      <c r="U9" s="56"/>
    </row>
    <row r="10" spans="1:21" x14ac:dyDescent="0.2">
      <c r="A10" s="53">
        <v>5</v>
      </c>
      <c r="B10" s="54" t="s">
        <v>176</v>
      </c>
      <c r="C10" s="45">
        <f t="shared" si="1"/>
        <v>1</v>
      </c>
      <c r="D10" s="45">
        <f t="shared" si="0"/>
        <v>1</v>
      </c>
      <c r="E10" s="45">
        <f t="shared" si="2"/>
        <v>0</v>
      </c>
      <c r="F10" s="45">
        <f t="shared" si="3"/>
        <v>0</v>
      </c>
      <c r="G10" s="44"/>
      <c r="H10" s="44"/>
      <c r="I10" s="44">
        <f>10-9</f>
        <v>1</v>
      </c>
      <c r="J10" s="44">
        <f>5-5</f>
        <v>0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6"/>
    </row>
    <row r="11" spans="1:21" ht="23.25" customHeight="1" x14ac:dyDescent="0.2">
      <c r="A11" s="53">
        <v>6</v>
      </c>
      <c r="B11" s="54" t="s">
        <v>177</v>
      </c>
      <c r="C11" s="45">
        <f t="shared" si="1"/>
        <v>79</v>
      </c>
      <c r="D11" s="45">
        <f t="shared" si="0"/>
        <v>79</v>
      </c>
      <c r="E11" s="45">
        <f t="shared" si="2"/>
        <v>0</v>
      </c>
      <c r="F11" s="45">
        <f t="shared" si="3"/>
        <v>0</v>
      </c>
      <c r="G11" s="44">
        <v>50</v>
      </c>
      <c r="H11" s="44">
        <f>29</f>
        <v>29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6"/>
    </row>
    <row r="12" spans="1:21" ht="23.25" customHeight="1" x14ac:dyDescent="0.2">
      <c r="A12" s="53">
        <v>7</v>
      </c>
      <c r="B12" s="54" t="s">
        <v>178</v>
      </c>
      <c r="C12" s="45">
        <f t="shared" si="1"/>
        <v>89124</v>
      </c>
      <c r="D12" s="45">
        <f t="shared" si="0"/>
        <v>0</v>
      </c>
      <c r="E12" s="45">
        <f t="shared" si="2"/>
        <v>15504</v>
      </c>
      <c r="F12" s="45">
        <f t="shared" si="3"/>
        <v>73620</v>
      </c>
      <c r="G12" s="44"/>
      <c r="H12" s="44"/>
      <c r="I12" s="44"/>
      <c r="J12" s="44"/>
      <c r="K12" s="44"/>
      <c r="L12" s="44"/>
      <c r="M12" s="44">
        <f>628+24+123</f>
        <v>775</v>
      </c>
      <c r="N12" s="44">
        <v>331</v>
      </c>
      <c r="O12" s="45">
        <f>10956+909+911+994</f>
        <v>13770</v>
      </c>
      <c r="P12" s="44">
        <f>569+59</f>
        <v>628</v>
      </c>
      <c r="Q12" s="45">
        <v>2057</v>
      </c>
      <c r="R12" s="45">
        <f>67560-78+166+381</f>
        <v>68029</v>
      </c>
      <c r="S12" s="45">
        <f>3527+7</f>
        <v>3534</v>
      </c>
      <c r="T12" s="44"/>
      <c r="U12" s="56"/>
    </row>
    <row r="13" spans="1:21" ht="12.75" customHeight="1" x14ac:dyDescent="0.2">
      <c r="A13" s="53">
        <v>8</v>
      </c>
      <c r="B13" s="54" t="s">
        <v>179</v>
      </c>
      <c r="C13" s="45">
        <f t="shared" si="1"/>
        <v>35832</v>
      </c>
      <c r="D13" s="45">
        <f t="shared" si="0"/>
        <v>0</v>
      </c>
      <c r="E13" s="45">
        <f t="shared" si="2"/>
        <v>4499</v>
      </c>
      <c r="F13" s="45">
        <f t="shared" si="3"/>
        <v>31333</v>
      </c>
      <c r="G13" s="44"/>
      <c r="H13" s="44"/>
      <c r="I13" s="44"/>
      <c r="J13" s="44"/>
      <c r="K13" s="44"/>
      <c r="L13" s="44">
        <v>5</v>
      </c>
      <c r="M13" s="44">
        <f>84+3</f>
        <v>87</v>
      </c>
      <c r="N13" s="44">
        <f>300+33</f>
        <v>333</v>
      </c>
      <c r="O13" s="45">
        <f>3457+6</f>
        <v>3463</v>
      </c>
      <c r="P13" s="44">
        <v>611</v>
      </c>
      <c r="Q13" s="45">
        <f>2000+22</f>
        <v>2022</v>
      </c>
      <c r="R13" s="45">
        <f>25401-14+214</f>
        <v>25601</v>
      </c>
      <c r="S13" s="45">
        <f>3671+39</f>
        <v>3710</v>
      </c>
      <c r="T13" s="44"/>
      <c r="U13" s="56"/>
    </row>
    <row r="14" spans="1:21" s="60" customFormat="1" ht="17.25" customHeight="1" x14ac:dyDescent="0.2">
      <c r="A14" s="57">
        <v>9</v>
      </c>
      <c r="B14" s="58" t="s">
        <v>180</v>
      </c>
      <c r="C14" s="45">
        <f t="shared" si="1"/>
        <v>11377</v>
      </c>
      <c r="D14" s="45">
        <f t="shared" si="0"/>
        <v>0</v>
      </c>
      <c r="E14" s="45">
        <f t="shared" si="2"/>
        <v>1438</v>
      </c>
      <c r="F14" s="45">
        <f t="shared" si="3"/>
        <v>9939</v>
      </c>
      <c r="G14" s="45"/>
      <c r="H14" s="45"/>
      <c r="I14" s="45"/>
      <c r="J14" s="45"/>
      <c r="K14" s="45"/>
      <c r="L14" s="45"/>
      <c r="M14" s="45"/>
      <c r="N14" s="45"/>
      <c r="O14" s="45">
        <f>848+52+38+1096-777</f>
        <v>1257</v>
      </c>
      <c r="P14" s="45">
        <f>400+27-246</f>
        <v>181</v>
      </c>
      <c r="Q14" s="45"/>
      <c r="R14" s="45">
        <f>6317-26+681+1017-771</f>
        <v>7218</v>
      </c>
      <c r="S14" s="45">
        <f>3500+229-1008</f>
        <v>2721</v>
      </c>
      <c r="T14" s="45"/>
      <c r="U14" s="59"/>
    </row>
    <row r="15" spans="1:21" s="60" customFormat="1" ht="16.5" customHeight="1" x14ac:dyDescent="0.2">
      <c r="A15" s="57">
        <v>10</v>
      </c>
      <c r="B15" s="58" t="s">
        <v>181</v>
      </c>
      <c r="C15" s="45">
        <f t="shared" si="1"/>
        <v>19092</v>
      </c>
      <c r="D15" s="45">
        <f t="shared" si="0"/>
        <v>0</v>
      </c>
      <c r="E15" s="45">
        <f t="shared" si="2"/>
        <v>3358</v>
      </c>
      <c r="F15" s="45">
        <f t="shared" si="3"/>
        <v>15734</v>
      </c>
      <c r="G15" s="45"/>
      <c r="H15" s="45"/>
      <c r="I15" s="45"/>
      <c r="J15" s="45"/>
      <c r="K15" s="45"/>
      <c r="L15" s="45"/>
      <c r="M15" s="45"/>
      <c r="N15" s="45"/>
      <c r="O15" s="45">
        <f>1560+13+1317+468</f>
        <v>3358</v>
      </c>
      <c r="P15" s="45"/>
      <c r="Q15" s="45"/>
      <c r="R15" s="45">
        <f>12600-20+2084</f>
        <v>14664</v>
      </c>
      <c r="S15" s="44">
        <f>936+134</f>
        <v>1070</v>
      </c>
      <c r="T15" s="45"/>
      <c r="U15" s="59"/>
    </row>
    <row r="16" spans="1:21" s="60" customFormat="1" ht="21.75" customHeight="1" x14ac:dyDescent="0.2">
      <c r="A16" s="57">
        <v>11</v>
      </c>
      <c r="B16" s="61" t="s">
        <v>182</v>
      </c>
      <c r="C16" s="45">
        <f t="shared" si="1"/>
        <v>2802</v>
      </c>
      <c r="D16" s="45">
        <f t="shared" si="0"/>
        <v>0</v>
      </c>
      <c r="E16" s="45">
        <f t="shared" si="2"/>
        <v>1023</v>
      </c>
      <c r="F16" s="45">
        <f t="shared" si="3"/>
        <v>1779</v>
      </c>
      <c r="G16" s="45"/>
      <c r="H16" s="45"/>
      <c r="I16" s="45"/>
      <c r="J16" s="45"/>
      <c r="K16" s="45"/>
      <c r="L16" s="45"/>
      <c r="M16" s="45"/>
      <c r="N16" s="45"/>
      <c r="O16" s="45">
        <v>777</v>
      </c>
      <c r="P16" s="45">
        <v>246</v>
      </c>
      <c r="Q16" s="45"/>
      <c r="R16" s="45">
        <v>771</v>
      </c>
      <c r="S16" s="45">
        <v>1008</v>
      </c>
      <c r="T16" s="45"/>
      <c r="U16" s="59"/>
    </row>
    <row r="17" spans="1:21" s="60" customFormat="1" ht="24" customHeight="1" x14ac:dyDescent="0.2">
      <c r="A17" s="57"/>
      <c r="B17" s="58" t="s">
        <v>183</v>
      </c>
      <c r="C17" s="45">
        <f t="shared" si="1"/>
        <v>4055</v>
      </c>
      <c r="D17" s="45">
        <f t="shared" si="0"/>
        <v>0</v>
      </c>
      <c r="E17" s="45">
        <f t="shared" si="2"/>
        <v>4055</v>
      </c>
      <c r="F17" s="45">
        <f t="shared" si="3"/>
        <v>0</v>
      </c>
      <c r="G17" s="45"/>
      <c r="H17" s="45"/>
      <c r="I17" s="45"/>
      <c r="J17" s="45"/>
      <c r="K17" s="45"/>
      <c r="L17" s="45"/>
      <c r="M17" s="45"/>
      <c r="N17" s="45">
        <f>16048-5317-2597-4079</f>
        <v>4055</v>
      </c>
      <c r="O17" s="45"/>
      <c r="P17" s="45"/>
      <c r="Q17" s="45"/>
      <c r="R17" s="45"/>
      <c r="S17" s="45"/>
      <c r="T17" s="45"/>
      <c r="U17" s="59"/>
    </row>
    <row r="18" spans="1:21" s="60" customFormat="1" x14ac:dyDescent="0.2">
      <c r="A18" s="62"/>
      <c r="B18" s="63" t="s">
        <v>155</v>
      </c>
      <c r="C18" s="55">
        <f t="shared" ref="C18:T18" si="4">SUM(C6:C17)</f>
        <v>178069</v>
      </c>
      <c r="D18" s="55">
        <f t="shared" si="4"/>
        <v>2088</v>
      </c>
      <c r="E18" s="55">
        <f t="shared" si="4"/>
        <v>31009</v>
      </c>
      <c r="F18" s="55">
        <f t="shared" si="4"/>
        <v>144972</v>
      </c>
      <c r="G18" s="55">
        <f t="shared" si="4"/>
        <v>50</v>
      </c>
      <c r="H18" s="55">
        <f t="shared" si="4"/>
        <v>227</v>
      </c>
      <c r="I18" s="55">
        <f t="shared" si="4"/>
        <v>71</v>
      </c>
      <c r="J18" s="55">
        <f t="shared" si="4"/>
        <v>10</v>
      </c>
      <c r="K18" s="55">
        <f t="shared" si="4"/>
        <v>1730</v>
      </c>
      <c r="L18" s="55">
        <f t="shared" si="4"/>
        <v>5</v>
      </c>
      <c r="M18" s="55">
        <f t="shared" si="4"/>
        <v>862</v>
      </c>
      <c r="N18" s="55">
        <f t="shared" si="4"/>
        <v>4719</v>
      </c>
      <c r="O18" s="55">
        <f t="shared" si="4"/>
        <v>23601</v>
      </c>
      <c r="P18" s="55">
        <f t="shared" si="4"/>
        <v>1822</v>
      </c>
      <c r="Q18" s="55">
        <f t="shared" si="4"/>
        <v>4705</v>
      </c>
      <c r="R18" s="55">
        <f t="shared" si="4"/>
        <v>122785</v>
      </c>
      <c r="S18" s="55">
        <f t="shared" si="4"/>
        <v>15978</v>
      </c>
      <c r="T18" s="55">
        <f t="shared" si="4"/>
        <v>1504</v>
      </c>
      <c r="U18" s="59"/>
    </row>
    <row r="19" spans="1:21" s="60" customFormat="1" x14ac:dyDescent="0.2">
      <c r="A19" s="165"/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59"/>
    </row>
  </sheetData>
  <mergeCells count="25">
    <mergeCell ref="L3:M3"/>
    <mergeCell ref="N3:P3"/>
    <mergeCell ref="Q3:T3"/>
    <mergeCell ref="D4:D5"/>
    <mergeCell ref="E4:E5"/>
    <mergeCell ref="F4:F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P4:P5"/>
    <mergeCell ref="C1:J1"/>
    <mergeCell ref="A3:A5"/>
    <mergeCell ref="B3:B5"/>
    <mergeCell ref="C3:C5"/>
    <mergeCell ref="D3:F3"/>
    <mergeCell ref="G3:J3"/>
    <mergeCell ref="G4:G5"/>
    <mergeCell ref="H4:H5"/>
    <mergeCell ref="I4:J4"/>
  </mergeCells>
  <pageMargins left="0.39370078740157483" right="0.39370078740157483" top="0.59055118110236227" bottom="0.39370078740157483" header="0.31496062992125984" footer="0.31496062992125984"/>
  <pageSetup paperSize="9" scale="85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workbookViewId="0">
      <pane xSplit="1" ySplit="4" topLeftCell="B34" activePane="bottomRight" state="frozen"/>
      <selection pane="topRight" activeCell="B1" sqref="B1"/>
      <selection pane="bottomLeft" activeCell="A5" sqref="A5"/>
      <selection pane="bottomRight" activeCell="B53" sqref="B53:O54"/>
    </sheetView>
  </sheetViews>
  <sheetFormatPr defaultRowHeight="12.75" x14ac:dyDescent="0.2"/>
  <cols>
    <col min="1" max="1" width="38" style="18" customWidth="1"/>
    <col min="2" max="2" width="10" style="18" customWidth="1"/>
    <col min="3" max="3" width="10.140625" style="18" customWidth="1"/>
    <col min="4" max="4" width="7.140625" style="18" customWidth="1"/>
    <col min="5" max="5" width="9.42578125" style="18" customWidth="1"/>
    <col min="6" max="6" width="8.5703125" style="18" customWidth="1"/>
    <col min="7" max="7" width="8.42578125" style="18" customWidth="1"/>
    <col min="8" max="8" width="7.140625" style="18" customWidth="1"/>
    <col min="9" max="9" width="8.5703125" style="18" customWidth="1"/>
    <col min="10" max="10" width="7.85546875" style="18" customWidth="1"/>
    <col min="11" max="11" width="9.42578125" style="18" customWidth="1"/>
    <col min="12" max="12" width="9" style="18" customWidth="1"/>
    <col min="13" max="13" width="8.7109375" style="18" customWidth="1"/>
    <col min="14" max="14" width="8.28515625" style="18" customWidth="1"/>
    <col min="15" max="15" width="13.42578125" style="18" customWidth="1"/>
    <col min="16" max="238" width="9.140625" style="18"/>
    <col min="239" max="239" width="38" style="18" customWidth="1"/>
    <col min="240" max="240" width="8" style="18" customWidth="1"/>
    <col min="241" max="241" width="12.140625" style="18" customWidth="1"/>
    <col min="242" max="242" width="8.5703125" style="18" customWidth="1"/>
    <col min="243" max="243" width="11.42578125" style="18" customWidth="1"/>
    <col min="244" max="244" width="7.140625" style="18" customWidth="1"/>
    <col min="245" max="245" width="10.7109375" style="18" customWidth="1"/>
    <col min="246" max="246" width="7.42578125" style="18" customWidth="1"/>
    <col min="247" max="247" width="11" style="18" customWidth="1"/>
    <col min="248" max="248" width="8.5703125" style="18" customWidth="1"/>
    <col min="249" max="249" width="11" style="18" customWidth="1"/>
    <col min="250" max="250" width="8.42578125" style="18" customWidth="1"/>
    <col min="251" max="251" width="11.28515625" style="18" customWidth="1"/>
    <col min="252" max="252" width="7.140625" style="18" customWidth="1"/>
    <col min="253" max="253" width="9.42578125" style="18" customWidth="1"/>
    <col min="254" max="254" width="7.140625" style="18" customWidth="1"/>
    <col min="255" max="255" width="9.85546875" style="18" customWidth="1"/>
    <col min="256" max="256" width="7.85546875" style="18" customWidth="1"/>
    <col min="257" max="257" width="11" style="18" customWidth="1"/>
    <col min="258" max="258" width="7.85546875" style="18" customWidth="1"/>
    <col min="259" max="259" width="10.5703125" style="18" customWidth="1"/>
    <col min="260" max="260" width="7.28515625" style="18" customWidth="1"/>
    <col min="261" max="261" width="10.140625" style="18" customWidth="1"/>
    <col min="262" max="262" width="7.7109375" style="18" customWidth="1"/>
    <col min="263" max="263" width="9.85546875" style="18" customWidth="1"/>
    <col min="264" max="264" width="8.28515625" style="18" customWidth="1"/>
    <col min="265" max="265" width="11.140625" style="18" customWidth="1"/>
    <col min="266" max="266" width="7.85546875" style="18" customWidth="1"/>
    <col min="267" max="267" width="11.5703125" style="18" customWidth="1"/>
    <col min="268" max="269" width="9.140625" style="18"/>
    <col min="270" max="270" width="12.28515625" style="18" customWidth="1"/>
    <col min="271" max="494" width="9.140625" style="18"/>
    <col min="495" max="495" width="38" style="18" customWidth="1"/>
    <col min="496" max="496" width="8" style="18" customWidth="1"/>
    <col min="497" max="497" width="12.140625" style="18" customWidth="1"/>
    <col min="498" max="498" width="8.5703125" style="18" customWidth="1"/>
    <col min="499" max="499" width="11.42578125" style="18" customWidth="1"/>
    <col min="500" max="500" width="7.140625" style="18" customWidth="1"/>
    <col min="501" max="501" width="10.7109375" style="18" customWidth="1"/>
    <col min="502" max="502" width="7.42578125" style="18" customWidth="1"/>
    <col min="503" max="503" width="11" style="18" customWidth="1"/>
    <col min="504" max="504" width="8.5703125" style="18" customWidth="1"/>
    <col min="505" max="505" width="11" style="18" customWidth="1"/>
    <col min="506" max="506" width="8.42578125" style="18" customWidth="1"/>
    <col min="507" max="507" width="11.28515625" style="18" customWidth="1"/>
    <col min="508" max="508" width="7.140625" style="18" customWidth="1"/>
    <col min="509" max="509" width="9.42578125" style="18" customWidth="1"/>
    <col min="510" max="510" width="7.140625" style="18" customWidth="1"/>
    <col min="511" max="511" width="9.85546875" style="18" customWidth="1"/>
    <col min="512" max="512" width="7.85546875" style="18" customWidth="1"/>
    <col min="513" max="513" width="11" style="18" customWidth="1"/>
    <col min="514" max="514" width="7.85546875" style="18" customWidth="1"/>
    <col min="515" max="515" width="10.5703125" style="18" customWidth="1"/>
    <col min="516" max="516" width="7.28515625" style="18" customWidth="1"/>
    <col min="517" max="517" width="10.140625" style="18" customWidth="1"/>
    <col min="518" max="518" width="7.7109375" style="18" customWidth="1"/>
    <col min="519" max="519" width="9.85546875" style="18" customWidth="1"/>
    <col min="520" max="520" width="8.28515625" style="18" customWidth="1"/>
    <col min="521" max="521" width="11.140625" style="18" customWidth="1"/>
    <col min="522" max="522" width="7.85546875" style="18" customWidth="1"/>
    <col min="523" max="523" width="11.5703125" style="18" customWidth="1"/>
    <col min="524" max="525" width="9.140625" style="18"/>
    <col min="526" max="526" width="12.28515625" style="18" customWidth="1"/>
    <col min="527" max="750" width="9.140625" style="18"/>
    <col min="751" max="751" width="38" style="18" customWidth="1"/>
    <col min="752" max="752" width="8" style="18" customWidth="1"/>
    <col min="753" max="753" width="12.140625" style="18" customWidth="1"/>
    <col min="754" max="754" width="8.5703125" style="18" customWidth="1"/>
    <col min="755" max="755" width="11.42578125" style="18" customWidth="1"/>
    <col min="756" max="756" width="7.140625" style="18" customWidth="1"/>
    <col min="757" max="757" width="10.7109375" style="18" customWidth="1"/>
    <col min="758" max="758" width="7.42578125" style="18" customWidth="1"/>
    <col min="759" max="759" width="11" style="18" customWidth="1"/>
    <col min="760" max="760" width="8.5703125" style="18" customWidth="1"/>
    <col min="761" max="761" width="11" style="18" customWidth="1"/>
    <col min="762" max="762" width="8.42578125" style="18" customWidth="1"/>
    <col min="763" max="763" width="11.28515625" style="18" customWidth="1"/>
    <col min="764" max="764" width="7.140625" style="18" customWidth="1"/>
    <col min="765" max="765" width="9.42578125" style="18" customWidth="1"/>
    <col min="766" max="766" width="7.140625" style="18" customWidth="1"/>
    <col min="767" max="767" width="9.85546875" style="18" customWidth="1"/>
    <col min="768" max="768" width="7.85546875" style="18" customWidth="1"/>
    <col min="769" max="769" width="11" style="18" customWidth="1"/>
    <col min="770" max="770" width="7.85546875" style="18" customWidth="1"/>
    <col min="771" max="771" width="10.5703125" style="18" customWidth="1"/>
    <col min="772" max="772" width="7.28515625" style="18" customWidth="1"/>
    <col min="773" max="773" width="10.140625" style="18" customWidth="1"/>
    <col min="774" max="774" width="7.7109375" style="18" customWidth="1"/>
    <col min="775" max="775" width="9.85546875" style="18" customWidth="1"/>
    <col min="776" max="776" width="8.28515625" style="18" customWidth="1"/>
    <col min="777" max="777" width="11.140625" style="18" customWidth="1"/>
    <col min="778" max="778" width="7.85546875" style="18" customWidth="1"/>
    <col min="779" max="779" width="11.5703125" style="18" customWidth="1"/>
    <col min="780" max="781" width="9.140625" style="18"/>
    <col min="782" max="782" width="12.28515625" style="18" customWidth="1"/>
    <col min="783" max="1006" width="9.140625" style="18"/>
    <col min="1007" max="1007" width="38" style="18" customWidth="1"/>
    <col min="1008" max="1008" width="8" style="18" customWidth="1"/>
    <col min="1009" max="1009" width="12.140625" style="18" customWidth="1"/>
    <col min="1010" max="1010" width="8.5703125" style="18" customWidth="1"/>
    <col min="1011" max="1011" width="11.42578125" style="18" customWidth="1"/>
    <col min="1012" max="1012" width="7.140625" style="18" customWidth="1"/>
    <col min="1013" max="1013" width="10.7109375" style="18" customWidth="1"/>
    <col min="1014" max="1014" width="7.42578125" style="18" customWidth="1"/>
    <col min="1015" max="1015" width="11" style="18" customWidth="1"/>
    <col min="1016" max="1016" width="8.5703125" style="18" customWidth="1"/>
    <col min="1017" max="1017" width="11" style="18" customWidth="1"/>
    <col min="1018" max="1018" width="8.42578125" style="18" customWidth="1"/>
    <col min="1019" max="1019" width="11.28515625" style="18" customWidth="1"/>
    <col min="1020" max="1020" width="7.140625" style="18" customWidth="1"/>
    <col min="1021" max="1021" width="9.42578125" style="18" customWidth="1"/>
    <col min="1022" max="1022" width="7.140625" style="18" customWidth="1"/>
    <col min="1023" max="1023" width="9.85546875" style="18" customWidth="1"/>
    <col min="1024" max="1024" width="7.85546875" style="18" customWidth="1"/>
    <col min="1025" max="1025" width="11" style="18" customWidth="1"/>
    <col min="1026" max="1026" width="7.85546875" style="18" customWidth="1"/>
    <col min="1027" max="1027" width="10.5703125" style="18" customWidth="1"/>
    <col min="1028" max="1028" width="7.28515625" style="18" customWidth="1"/>
    <col min="1029" max="1029" width="10.140625" style="18" customWidth="1"/>
    <col min="1030" max="1030" width="7.7109375" style="18" customWidth="1"/>
    <col min="1031" max="1031" width="9.85546875" style="18" customWidth="1"/>
    <col min="1032" max="1032" width="8.28515625" style="18" customWidth="1"/>
    <col min="1033" max="1033" width="11.140625" style="18" customWidth="1"/>
    <col min="1034" max="1034" width="7.85546875" style="18" customWidth="1"/>
    <col min="1035" max="1035" width="11.5703125" style="18" customWidth="1"/>
    <col min="1036" max="1037" width="9.140625" style="18"/>
    <col min="1038" max="1038" width="12.28515625" style="18" customWidth="1"/>
    <col min="1039" max="1262" width="9.140625" style="18"/>
    <col min="1263" max="1263" width="38" style="18" customWidth="1"/>
    <col min="1264" max="1264" width="8" style="18" customWidth="1"/>
    <col min="1265" max="1265" width="12.140625" style="18" customWidth="1"/>
    <col min="1266" max="1266" width="8.5703125" style="18" customWidth="1"/>
    <col min="1267" max="1267" width="11.42578125" style="18" customWidth="1"/>
    <col min="1268" max="1268" width="7.140625" style="18" customWidth="1"/>
    <col min="1269" max="1269" width="10.7109375" style="18" customWidth="1"/>
    <col min="1270" max="1270" width="7.42578125" style="18" customWidth="1"/>
    <col min="1271" max="1271" width="11" style="18" customWidth="1"/>
    <col min="1272" max="1272" width="8.5703125" style="18" customWidth="1"/>
    <col min="1273" max="1273" width="11" style="18" customWidth="1"/>
    <col min="1274" max="1274" width="8.42578125" style="18" customWidth="1"/>
    <col min="1275" max="1275" width="11.28515625" style="18" customWidth="1"/>
    <col min="1276" max="1276" width="7.140625" style="18" customWidth="1"/>
    <col min="1277" max="1277" width="9.42578125" style="18" customWidth="1"/>
    <col min="1278" max="1278" width="7.140625" style="18" customWidth="1"/>
    <col min="1279" max="1279" width="9.85546875" style="18" customWidth="1"/>
    <col min="1280" max="1280" width="7.85546875" style="18" customWidth="1"/>
    <col min="1281" max="1281" width="11" style="18" customWidth="1"/>
    <col min="1282" max="1282" width="7.85546875" style="18" customWidth="1"/>
    <col min="1283" max="1283" width="10.5703125" style="18" customWidth="1"/>
    <col min="1284" max="1284" width="7.28515625" style="18" customWidth="1"/>
    <col min="1285" max="1285" width="10.140625" style="18" customWidth="1"/>
    <col min="1286" max="1286" width="7.7109375" style="18" customWidth="1"/>
    <col min="1287" max="1287" width="9.85546875" style="18" customWidth="1"/>
    <col min="1288" max="1288" width="8.28515625" style="18" customWidth="1"/>
    <col min="1289" max="1289" width="11.140625" style="18" customWidth="1"/>
    <col min="1290" max="1290" width="7.85546875" style="18" customWidth="1"/>
    <col min="1291" max="1291" width="11.5703125" style="18" customWidth="1"/>
    <col min="1292" max="1293" width="9.140625" style="18"/>
    <col min="1294" max="1294" width="12.28515625" style="18" customWidth="1"/>
    <col min="1295" max="1518" width="9.140625" style="18"/>
    <col min="1519" max="1519" width="38" style="18" customWidth="1"/>
    <col min="1520" max="1520" width="8" style="18" customWidth="1"/>
    <col min="1521" max="1521" width="12.140625" style="18" customWidth="1"/>
    <col min="1522" max="1522" width="8.5703125" style="18" customWidth="1"/>
    <col min="1523" max="1523" width="11.42578125" style="18" customWidth="1"/>
    <col min="1524" max="1524" width="7.140625" style="18" customWidth="1"/>
    <col min="1525" max="1525" width="10.7109375" style="18" customWidth="1"/>
    <col min="1526" max="1526" width="7.42578125" style="18" customWidth="1"/>
    <col min="1527" max="1527" width="11" style="18" customWidth="1"/>
    <col min="1528" max="1528" width="8.5703125" style="18" customWidth="1"/>
    <col min="1529" max="1529" width="11" style="18" customWidth="1"/>
    <col min="1530" max="1530" width="8.42578125" style="18" customWidth="1"/>
    <col min="1531" max="1531" width="11.28515625" style="18" customWidth="1"/>
    <col min="1532" max="1532" width="7.140625" style="18" customWidth="1"/>
    <col min="1533" max="1533" width="9.42578125" style="18" customWidth="1"/>
    <col min="1534" max="1534" width="7.140625" style="18" customWidth="1"/>
    <col min="1535" max="1535" width="9.85546875" style="18" customWidth="1"/>
    <col min="1536" max="1536" width="7.85546875" style="18" customWidth="1"/>
    <col min="1537" max="1537" width="11" style="18" customWidth="1"/>
    <col min="1538" max="1538" width="7.85546875" style="18" customWidth="1"/>
    <col min="1539" max="1539" width="10.5703125" style="18" customWidth="1"/>
    <col min="1540" max="1540" width="7.28515625" style="18" customWidth="1"/>
    <col min="1541" max="1541" width="10.140625" style="18" customWidth="1"/>
    <col min="1542" max="1542" width="7.7109375" style="18" customWidth="1"/>
    <col min="1543" max="1543" width="9.85546875" style="18" customWidth="1"/>
    <col min="1544" max="1544" width="8.28515625" style="18" customWidth="1"/>
    <col min="1545" max="1545" width="11.140625" style="18" customWidth="1"/>
    <col min="1546" max="1546" width="7.85546875" style="18" customWidth="1"/>
    <col min="1547" max="1547" width="11.5703125" style="18" customWidth="1"/>
    <col min="1548" max="1549" width="9.140625" style="18"/>
    <col min="1550" max="1550" width="12.28515625" style="18" customWidth="1"/>
    <col min="1551" max="1774" width="9.140625" style="18"/>
    <col min="1775" max="1775" width="38" style="18" customWidth="1"/>
    <col min="1776" max="1776" width="8" style="18" customWidth="1"/>
    <col min="1777" max="1777" width="12.140625" style="18" customWidth="1"/>
    <col min="1778" max="1778" width="8.5703125" style="18" customWidth="1"/>
    <col min="1779" max="1779" width="11.42578125" style="18" customWidth="1"/>
    <col min="1780" max="1780" width="7.140625" style="18" customWidth="1"/>
    <col min="1781" max="1781" width="10.7109375" style="18" customWidth="1"/>
    <col min="1782" max="1782" width="7.42578125" style="18" customWidth="1"/>
    <col min="1783" max="1783" width="11" style="18" customWidth="1"/>
    <col min="1784" max="1784" width="8.5703125" style="18" customWidth="1"/>
    <col min="1785" max="1785" width="11" style="18" customWidth="1"/>
    <col min="1786" max="1786" width="8.42578125" style="18" customWidth="1"/>
    <col min="1787" max="1787" width="11.28515625" style="18" customWidth="1"/>
    <col min="1788" max="1788" width="7.140625" style="18" customWidth="1"/>
    <col min="1789" max="1789" width="9.42578125" style="18" customWidth="1"/>
    <col min="1790" max="1790" width="7.140625" style="18" customWidth="1"/>
    <col min="1791" max="1791" width="9.85546875" style="18" customWidth="1"/>
    <col min="1792" max="1792" width="7.85546875" style="18" customWidth="1"/>
    <col min="1793" max="1793" width="11" style="18" customWidth="1"/>
    <col min="1794" max="1794" width="7.85546875" style="18" customWidth="1"/>
    <col min="1795" max="1795" width="10.5703125" style="18" customWidth="1"/>
    <col min="1796" max="1796" width="7.28515625" style="18" customWidth="1"/>
    <col min="1797" max="1797" width="10.140625" style="18" customWidth="1"/>
    <col min="1798" max="1798" width="7.7109375" style="18" customWidth="1"/>
    <col min="1799" max="1799" width="9.85546875" style="18" customWidth="1"/>
    <col min="1800" max="1800" width="8.28515625" style="18" customWidth="1"/>
    <col min="1801" max="1801" width="11.140625" style="18" customWidth="1"/>
    <col min="1802" max="1802" width="7.85546875" style="18" customWidth="1"/>
    <col min="1803" max="1803" width="11.5703125" style="18" customWidth="1"/>
    <col min="1804" max="1805" width="9.140625" style="18"/>
    <col min="1806" max="1806" width="12.28515625" style="18" customWidth="1"/>
    <col min="1807" max="2030" width="9.140625" style="18"/>
    <col min="2031" max="2031" width="38" style="18" customWidth="1"/>
    <col min="2032" max="2032" width="8" style="18" customWidth="1"/>
    <col min="2033" max="2033" width="12.140625" style="18" customWidth="1"/>
    <col min="2034" max="2034" width="8.5703125" style="18" customWidth="1"/>
    <col min="2035" max="2035" width="11.42578125" style="18" customWidth="1"/>
    <col min="2036" max="2036" width="7.140625" style="18" customWidth="1"/>
    <col min="2037" max="2037" width="10.7109375" style="18" customWidth="1"/>
    <col min="2038" max="2038" width="7.42578125" style="18" customWidth="1"/>
    <col min="2039" max="2039" width="11" style="18" customWidth="1"/>
    <col min="2040" max="2040" width="8.5703125" style="18" customWidth="1"/>
    <col min="2041" max="2041" width="11" style="18" customWidth="1"/>
    <col min="2042" max="2042" width="8.42578125" style="18" customWidth="1"/>
    <col min="2043" max="2043" width="11.28515625" style="18" customWidth="1"/>
    <col min="2044" max="2044" width="7.140625" style="18" customWidth="1"/>
    <col min="2045" max="2045" width="9.42578125" style="18" customWidth="1"/>
    <col min="2046" max="2046" width="7.140625" style="18" customWidth="1"/>
    <col min="2047" max="2047" width="9.85546875" style="18" customWidth="1"/>
    <col min="2048" max="2048" width="7.85546875" style="18" customWidth="1"/>
    <col min="2049" max="2049" width="11" style="18" customWidth="1"/>
    <col min="2050" max="2050" width="7.85546875" style="18" customWidth="1"/>
    <col min="2051" max="2051" width="10.5703125" style="18" customWidth="1"/>
    <col min="2052" max="2052" width="7.28515625" style="18" customWidth="1"/>
    <col min="2053" max="2053" width="10.140625" style="18" customWidth="1"/>
    <col min="2054" max="2054" width="7.7109375" style="18" customWidth="1"/>
    <col min="2055" max="2055" width="9.85546875" style="18" customWidth="1"/>
    <col min="2056" max="2056" width="8.28515625" style="18" customWidth="1"/>
    <col min="2057" max="2057" width="11.140625" style="18" customWidth="1"/>
    <col min="2058" max="2058" width="7.85546875" style="18" customWidth="1"/>
    <col min="2059" max="2059" width="11.5703125" style="18" customWidth="1"/>
    <col min="2060" max="2061" width="9.140625" style="18"/>
    <col min="2062" max="2062" width="12.28515625" style="18" customWidth="1"/>
    <col min="2063" max="2286" width="9.140625" style="18"/>
    <col min="2287" max="2287" width="38" style="18" customWidth="1"/>
    <col min="2288" max="2288" width="8" style="18" customWidth="1"/>
    <col min="2289" max="2289" width="12.140625" style="18" customWidth="1"/>
    <col min="2290" max="2290" width="8.5703125" style="18" customWidth="1"/>
    <col min="2291" max="2291" width="11.42578125" style="18" customWidth="1"/>
    <col min="2292" max="2292" width="7.140625" style="18" customWidth="1"/>
    <col min="2293" max="2293" width="10.7109375" style="18" customWidth="1"/>
    <col min="2294" max="2294" width="7.42578125" style="18" customWidth="1"/>
    <col min="2295" max="2295" width="11" style="18" customWidth="1"/>
    <col min="2296" max="2296" width="8.5703125" style="18" customWidth="1"/>
    <col min="2297" max="2297" width="11" style="18" customWidth="1"/>
    <col min="2298" max="2298" width="8.42578125" style="18" customWidth="1"/>
    <col min="2299" max="2299" width="11.28515625" style="18" customWidth="1"/>
    <col min="2300" max="2300" width="7.140625" style="18" customWidth="1"/>
    <col min="2301" max="2301" width="9.42578125" style="18" customWidth="1"/>
    <col min="2302" max="2302" width="7.140625" style="18" customWidth="1"/>
    <col min="2303" max="2303" width="9.85546875" style="18" customWidth="1"/>
    <col min="2304" max="2304" width="7.85546875" style="18" customWidth="1"/>
    <col min="2305" max="2305" width="11" style="18" customWidth="1"/>
    <col min="2306" max="2306" width="7.85546875" style="18" customWidth="1"/>
    <col min="2307" max="2307" width="10.5703125" style="18" customWidth="1"/>
    <col min="2308" max="2308" width="7.28515625" style="18" customWidth="1"/>
    <col min="2309" max="2309" width="10.140625" style="18" customWidth="1"/>
    <col min="2310" max="2310" width="7.7109375" style="18" customWidth="1"/>
    <col min="2311" max="2311" width="9.85546875" style="18" customWidth="1"/>
    <col min="2312" max="2312" width="8.28515625" style="18" customWidth="1"/>
    <col min="2313" max="2313" width="11.140625" style="18" customWidth="1"/>
    <col min="2314" max="2314" width="7.85546875" style="18" customWidth="1"/>
    <col min="2315" max="2315" width="11.5703125" style="18" customWidth="1"/>
    <col min="2316" max="2317" width="9.140625" style="18"/>
    <col min="2318" max="2318" width="12.28515625" style="18" customWidth="1"/>
    <col min="2319" max="2542" width="9.140625" style="18"/>
    <col min="2543" max="2543" width="38" style="18" customWidth="1"/>
    <col min="2544" max="2544" width="8" style="18" customWidth="1"/>
    <col min="2545" max="2545" width="12.140625" style="18" customWidth="1"/>
    <col min="2546" max="2546" width="8.5703125" style="18" customWidth="1"/>
    <col min="2547" max="2547" width="11.42578125" style="18" customWidth="1"/>
    <col min="2548" max="2548" width="7.140625" style="18" customWidth="1"/>
    <col min="2549" max="2549" width="10.7109375" style="18" customWidth="1"/>
    <col min="2550" max="2550" width="7.42578125" style="18" customWidth="1"/>
    <col min="2551" max="2551" width="11" style="18" customWidth="1"/>
    <col min="2552" max="2552" width="8.5703125" style="18" customWidth="1"/>
    <col min="2553" max="2553" width="11" style="18" customWidth="1"/>
    <col min="2554" max="2554" width="8.42578125" style="18" customWidth="1"/>
    <col min="2555" max="2555" width="11.28515625" style="18" customWidth="1"/>
    <col min="2556" max="2556" width="7.140625" style="18" customWidth="1"/>
    <col min="2557" max="2557" width="9.42578125" style="18" customWidth="1"/>
    <col min="2558" max="2558" width="7.140625" style="18" customWidth="1"/>
    <col min="2559" max="2559" width="9.85546875" style="18" customWidth="1"/>
    <col min="2560" max="2560" width="7.85546875" style="18" customWidth="1"/>
    <col min="2561" max="2561" width="11" style="18" customWidth="1"/>
    <col min="2562" max="2562" width="7.85546875" style="18" customWidth="1"/>
    <col min="2563" max="2563" width="10.5703125" style="18" customWidth="1"/>
    <col min="2564" max="2564" width="7.28515625" style="18" customWidth="1"/>
    <col min="2565" max="2565" width="10.140625" style="18" customWidth="1"/>
    <col min="2566" max="2566" width="7.7109375" style="18" customWidth="1"/>
    <col min="2567" max="2567" width="9.85546875" style="18" customWidth="1"/>
    <col min="2568" max="2568" width="8.28515625" style="18" customWidth="1"/>
    <col min="2569" max="2569" width="11.140625" style="18" customWidth="1"/>
    <col min="2570" max="2570" width="7.85546875" style="18" customWidth="1"/>
    <col min="2571" max="2571" width="11.5703125" style="18" customWidth="1"/>
    <col min="2572" max="2573" width="9.140625" style="18"/>
    <col min="2574" max="2574" width="12.28515625" style="18" customWidth="1"/>
    <col min="2575" max="2798" width="9.140625" style="18"/>
    <col min="2799" max="2799" width="38" style="18" customWidth="1"/>
    <col min="2800" max="2800" width="8" style="18" customWidth="1"/>
    <col min="2801" max="2801" width="12.140625" style="18" customWidth="1"/>
    <col min="2802" max="2802" width="8.5703125" style="18" customWidth="1"/>
    <col min="2803" max="2803" width="11.42578125" style="18" customWidth="1"/>
    <col min="2804" max="2804" width="7.140625" style="18" customWidth="1"/>
    <col min="2805" max="2805" width="10.7109375" style="18" customWidth="1"/>
    <col min="2806" max="2806" width="7.42578125" style="18" customWidth="1"/>
    <col min="2807" max="2807" width="11" style="18" customWidth="1"/>
    <col min="2808" max="2808" width="8.5703125" style="18" customWidth="1"/>
    <col min="2809" max="2809" width="11" style="18" customWidth="1"/>
    <col min="2810" max="2810" width="8.42578125" style="18" customWidth="1"/>
    <col min="2811" max="2811" width="11.28515625" style="18" customWidth="1"/>
    <col min="2812" max="2812" width="7.140625" style="18" customWidth="1"/>
    <col min="2813" max="2813" width="9.42578125" style="18" customWidth="1"/>
    <col min="2814" max="2814" width="7.140625" style="18" customWidth="1"/>
    <col min="2815" max="2815" width="9.85546875" style="18" customWidth="1"/>
    <col min="2816" max="2816" width="7.85546875" style="18" customWidth="1"/>
    <col min="2817" max="2817" width="11" style="18" customWidth="1"/>
    <col min="2818" max="2818" width="7.85546875" style="18" customWidth="1"/>
    <col min="2819" max="2819" width="10.5703125" style="18" customWidth="1"/>
    <col min="2820" max="2820" width="7.28515625" style="18" customWidth="1"/>
    <col min="2821" max="2821" width="10.140625" style="18" customWidth="1"/>
    <col min="2822" max="2822" width="7.7109375" style="18" customWidth="1"/>
    <col min="2823" max="2823" width="9.85546875" style="18" customWidth="1"/>
    <col min="2824" max="2824" width="8.28515625" style="18" customWidth="1"/>
    <col min="2825" max="2825" width="11.140625" style="18" customWidth="1"/>
    <col min="2826" max="2826" width="7.85546875" style="18" customWidth="1"/>
    <col min="2827" max="2827" width="11.5703125" style="18" customWidth="1"/>
    <col min="2828" max="2829" width="9.140625" style="18"/>
    <col min="2830" max="2830" width="12.28515625" style="18" customWidth="1"/>
    <col min="2831" max="3054" width="9.140625" style="18"/>
    <col min="3055" max="3055" width="38" style="18" customWidth="1"/>
    <col min="3056" max="3056" width="8" style="18" customWidth="1"/>
    <col min="3057" max="3057" width="12.140625" style="18" customWidth="1"/>
    <col min="3058" max="3058" width="8.5703125" style="18" customWidth="1"/>
    <col min="3059" max="3059" width="11.42578125" style="18" customWidth="1"/>
    <col min="3060" max="3060" width="7.140625" style="18" customWidth="1"/>
    <col min="3061" max="3061" width="10.7109375" style="18" customWidth="1"/>
    <col min="3062" max="3062" width="7.42578125" style="18" customWidth="1"/>
    <col min="3063" max="3063" width="11" style="18" customWidth="1"/>
    <col min="3064" max="3064" width="8.5703125" style="18" customWidth="1"/>
    <col min="3065" max="3065" width="11" style="18" customWidth="1"/>
    <col min="3066" max="3066" width="8.42578125" style="18" customWidth="1"/>
    <col min="3067" max="3067" width="11.28515625" style="18" customWidth="1"/>
    <col min="3068" max="3068" width="7.140625" style="18" customWidth="1"/>
    <col min="3069" max="3069" width="9.42578125" style="18" customWidth="1"/>
    <col min="3070" max="3070" width="7.140625" style="18" customWidth="1"/>
    <col min="3071" max="3071" width="9.85546875" style="18" customWidth="1"/>
    <col min="3072" max="3072" width="7.85546875" style="18" customWidth="1"/>
    <col min="3073" max="3073" width="11" style="18" customWidth="1"/>
    <col min="3074" max="3074" width="7.85546875" style="18" customWidth="1"/>
    <col min="3075" max="3075" width="10.5703125" style="18" customWidth="1"/>
    <col min="3076" max="3076" width="7.28515625" style="18" customWidth="1"/>
    <col min="3077" max="3077" width="10.140625" style="18" customWidth="1"/>
    <col min="3078" max="3078" width="7.7109375" style="18" customWidth="1"/>
    <col min="3079" max="3079" width="9.85546875" style="18" customWidth="1"/>
    <col min="3080" max="3080" width="8.28515625" style="18" customWidth="1"/>
    <col min="3081" max="3081" width="11.140625" style="18" customWidth="1"/>
    <col min="3082" max="3082" width="7.85546875" style="18" customWidth="1"/>
    <col min="3083" max="3083" width="11.5703125" style="18" customWidth="1"/>
    <col min="3084" max="3085" width="9.140625" style="18"/>
    <col min="3086" max="3086" width="12.28515625" style="18" customWidth="1"/>
    <col min="3087" max="3310" width="9.140625" style="18"/>
    <col min="3311" max="3311" width="38" style="18" customWidth="1"/>
    <col min="3312" max="3312" width="8" style="18" customWidth="1"/>
    <col min="3313" max="3313" width="12.140625" style="18" customWidth="1"/>
    <col min="3314" max="3314" width="8.5703125" style="18" customWidth="1"/>
    <col min="3315" max="3315" width="11.42578125" style="18" customWidth="1"/>
    <col min="3316" max="3316" width="7.140625" style="18" customWidth="1"/>
    <col min="3317" max="3317" width="10.7109375" style="18" customWidth="1"/>
    <col min="3318" max="3318" width="7.42578125" style="18" customWidth="1"/>
    <col min="3319" max="3319" width="11" style="18" customWidth="1"/>
    <col min="3320" max="3320" width="8.5703125" style="18" customWidth="1"/>
    <col min="3321" max="3321" width="11" style="18" customWidth="1"/>
    <col min="3322" max="3322" width="8.42578125" style="18" customWidth="1"/>
    <col min="3323" max="3323" width="11.28515625" style="18" customWidth="1"/>
    <col min="3324" max="3324" width="7.140625" style="18" customWidth="1"/>
    <col min="3325" max="3325" width="9.42578125" style="18" customWidth="1"/>
    <col min="3326" max="3326" width="7.140625" style="18" customWidth="1"/>
    <col min="3327" max="3327" width="9.85546875" style="18" customWidth="1"/>
    <col min="3328" max="3328" width="7.85546875" style="18" customWidth="1"/>
    <col min="3329" max="3329" width="11" style="18" customWidth="1"/>
    <col min="3330" max="3330" width="7.85546875" style="18" customWidth="1"/>
    <col min="3331" max="3331" width="10.5703125" style="18" customWidth="1"/>
    <col min="3332" max="3332" width="7.28515625" style="18" customWidth="1"/>
    <col min="3333" max="3333" width="10.140625" style="18" customWidth="1"/>
    <col min="3334" max="3334" width="7.7109375" style="18" customWidth="1"/>
    <col min="3335" max="3335" width="9.85546875" style="18" customWidth="1"/>
    <col min="3336" max="3336" width="8.28515625" style="18" customWidth="1"/>
    <col min="3337" max="3337" width="11.140625" style="18" customWidth="1"/>
    <col min="3338" max="3338" width="7.85546875" style="18" customWidth="1"/>
    <col min="3339" max="3339" width="11.5703125" style="18" customWidth="1"/>
    <col min="3340" max="3341" width="9.140625" style="18"/>
    <col min="3342" max="3342" width="12.28515625" style="18" customWidth="1"/>
    <col min="3343" max="3566" width="9.140625" style="18"/>
    <col min="3567" max="3567" width="38" style="18" customWidth="1"/>
    <col min="3568" max="3568" width="8" style="18" customWidth="1"/>
    <col min="3569" max="3569" width="12.140625" style="18" customWidth="1"/>
    <col min="3570" max="3570" width="8.5703125" style="18" customWidth="1"/>
    <col min="3571" max="3571" width="11.42578125" style="18" customWidth="1"/>
    <col min="3572" max="3572" width="7.140625" style="18" customWidth="1"/>
    <col min="3573" max="3573" width="10.7109375" style="18" customWidth="1"/>
    <col min="3574" max="3574" width="7.42578125" style="18" customWidth="1"/>
    <col min="3575" max="3575" width="11" style="18" customWidth="1"/>
    <col min="3576" max="3576" width="8.5703125" style="18" customWidth="1"/>
    <col min="3577" max="3577" width="11" style="18" customWidth="1"/>
    <col min="3578" max="3578" width="8.42578125" style="18" customWidth="1"/>
    <col min="3579" max="3579" width="11.28515625" style="18" customWidth="1"/>
    <col min="3580" max="3580" width="7.140625" style="18" customWidth="1"/>
    <col min="3581" max="3581" width="9.42578125" style="18" customWidth="1"/>
    <col min="3582" max="3582" width="7.140625" style="18" customWidth="1"/>
    <col min="3583" max="3583" width="9.85546875" style="18" customWidth="1"/>
    <col min="3584" max="3584" width="7.85546875" style="18" customWidth="1"/>
    <col min="3585" max="3585" width="11" style="18" customWidth="1"/>
    <col min="3586" max="3586" width="7.85546875" style="18" customWidth="1"/>
    <col min="3587" max="3587" width="10.5703125" style="18" customWidth="1"/>
    <col min="3588" max="3588" width="7.28515625" style="18" customWidth="1"/>
    <col min="3589" max="3589" width="10.140625" style="18" customWidth="1"/>
    <col min="3590" max="3590" width="7.7109375" style="18" customWidth="1"/>
    <col min="3591" max="3591" width="9.85546875" style="18" customWidth="1"/>
    <col min="3592" max="3592" width="8.28515625" style="18" customWidth="1"/>
    <col min="3593" max="3593" width="11.140625" style="18" customWidth="1"/>
    <col min="3594" max="3594" width="7.85546875" style="18" customWidth="1"/>
    <col min="3595" max="3595" width="11.5703125" style="18" customWidth="1"/>
    <col min="3596" max="3597" width="9.140625" style="18"/>
    <col min="3598" max="3598" width="12.28515625" style="18" customWidth="1"/>
    <col min="3599" max="3822" width="9.140625" style="18"/>
    <col min="3823" max="3823" width="38" style="18" customWidth="1"/>
    <col min="3824" max="3824" width="8" style="18" customWidth="1"/>
    <col min="3825" max="3825" width="12.140625" style="18" customWidth="1"/>
    <col min="3826" max="3826" width="8.5703125" style="18" customWidth="1"/>
    <col min="3827" max="3827" width="11.42578125" style="18" customWidth="1"/>
    <col min="3828" max="3828" width="7.140625" style="18" customWidth="1"/>
    <col min="3829" max="3829" width="10.7109375" style="18" customWidth="1"/>
    <col min="3830" max="3830" width="7.42578125" style="18" customWidth="1"/>
    <col min="3831" max="3831" width="11" style="18" customWidth="1"/>
    <col min="3832" max="3832" width="8.5703125" style="18" customWidth="1"/>
    <col min="3833" max="3833" width="11" style="18" customWidth="1"/>
    <col min="3834" max="3834" width="8.42578125" style="18" customWidth="1"/>
    <col min="3835" max="3835" width="11.28515625" style="18" customWidth="1"/>
    <col min="3836" max="3836" width="7.140625" style="18" customWidth="1"/>
    <col min="3837" max="3837" width="9.42578125" style="18" customWidth="1"/>
    <col min="3838" max="3838" width="7.140625" style="18" customWidth="1"/>
    <col min="3839" max="3839" width="9.85546875" style="18" customWidth="1"/>
    <col min="3840" max="3840" width="7.85546875" style="18" customWidth="1"/>
    <col min="3841" max="3841" width="11" style="18" customWidth="1"/>
    <col min="3842" max="3842" width="7.85546875" style="18" customWidth="1"/>
    <col min="3843" max="3843" width="10.5703125" style="18" customWidth="1"/>
    <col min="3844" max="3844" width="7.28515625" style="18" customWidth="1"/>
    <col min="3845" max="3845" width="10.140625" style="18" customWidth="1"/>
    <col min="3846" max="3846" width="7.7109375" style="18" customWidth="1"/>
    <col min="3847" max="3847" width="9.85546875" style="18" customWidth="1"/>
    <col min="3848" max="3848" width="8.28515625" style="18" customWidth="1"/>
    <col min="3849" max="3849" width="11.140625" style="18" customWidth="1"/>
    <col min="3850" max="3850" width="7.85546875" style="18" customWidth="1"/>
    <col min="3851" max="3851" width="11.5703125" style="18" customWidth="1"/>
    <col min="3852" max="3853" width="9.140625" style="18"/>
    <col min="3854" max="3854" width="12.28515625" style="18" customWidth="1"/>
    <col min="3855" max="4078" width="9.140625" style="18"/>
    <col min="4079" max="4079" width="38" style="18" customWidth="1"/>
    <col min="4080" max="4080" width="8" style="18" customWidth="1"/>
    <col min="4081" max="4081" width="12.140625" style="18" customWidth="1"/>
    <col min="4082" max="4082" width="8.5703125" style="18" customWidth="1"/>
    <col min="4083" max="4083" width="11.42578125" style="18" customWidth="1"/>
    <col min="4084" max="4084" width="7.140625" style="18" customWidth="1"/>
    <col min="4085" max="4085" width="10.7109375" style="18" customWidth="1"/>
    <col min="4086" max="4086" width="7.42578125" style="18" customWidth="1"/>
    <col min="4087" max="4087" width="11" style="18" customWidth="1"/>
    <col min="4088" max="4088" width="8.5703125" style="18" customWidth="1"/>
    <col min="4089" max="4089" width="11" style="18" customWidth="1"/>
    <col min="4090" max="4090" width="8.42578125" style="18" customWidth="1"/>
    <col min="4091" max="4091" width="11.28515625" style="18" customWidth="1"/>
    <col min="4092" max="4092" width="7.140625" style="18" customWidth="1"/>
    <col min="4093" max="4093" width="9.42578125" style="18" customWidth="1"/>
    <col min="4094" max="4094" width="7.140625" style="18" customWidth="1"/>
    <col min="4095" max="4095" width="9.85546875" style="18" customWidth="1"/>
    <col min="4096" max="4096" width="7.85546875" style="18" customWidth="1"/>
    <col min="4097" max="4097" width="11" style="18" customWidth="1"/>
    <col min="4098" max="4098" width="7.85546875" style="18" customWidth="1"/>
    <col min="4099" max="4099" width="10.5703125" style="18" customWidth="1"/>
    <col min="4100" max="4100" width="7.28515625" style="18" customWidth="1"/>
    <col min="4101" max="4101" width="10.140625" style="18" customWidth="1"/>
    <col min="4102" max="4102" width="7.7109375" style="18" customWidth="1"/>
    <col min="4103" max="4103" width="9.85546875" style="18" customWidth="1"/>
    <col min="4104" max="4104" width="8.28515625" style="18" customWidth="1"/>
    <col min="4105" max="4105" width="11.140625" style="18" customWidth="1"/>
    <col min="4106" max="4106" width="7.85546875" style="18" customWidth="1"/>
    <col min="4107" max="4107" width="11.5703125" style="18" customWidth="1"/>
    <col min="4108" max="4109" width="9.140625" style="18"/>
    <col min="4110" max="4110" width="12.28515625" style="18" customWidth="1"/>
    <col min="4111" max="4334" width="9.140625" style="18"/>
    <col min="4335" max="4335" width="38" style="18" customWidth="1"/>
    <col min="4336" max="4336" width="8" style="18" customWidth="1"/>
    <col min="4337" max="4337" width="12.140625" style="18" customWidth="1"/>
    <col min="4338" max="4338" width="8.5703125" style="18" customWidth="1"/>
    <col min="4339" max="4339" width="11.42578125" style="18" customWidth="1"/>
    <col min="4340" max="4340" width="7.140625" style="18" customWidth="1"/>
    <col min="4341" max="4341" width="10.7109375" style="18" customWidth="1"/>
    <col min="4342" max="4342" width="7.42578125" style="18" customWidth="1"/>
    <col min="4343" max="4343" width="11" style="18" customWidth="1"/>
    <col min="4344" max="4344" width="8.5703125" style="18" customWidth="1"/>
    <col min="4345" max="4345" width="11" style="18" customWidth="1"/>
    <col min="4346" max="4346" width="8.42578125" style="18" customWidth="1"/>
    <col min="4347" max="4347" width="11.28515625" style="18" customWidth="1"/>
    <col min="4348" max="4348" width="7.140625" style="18" customWidth="1"/>
    <col min="4349" max="4349" width="9.42578125" style="18" customWidth="1"/>
    <col min="4350" max="4350" width="7.140625" style="18" customWidth="1"/>
    <col min="4351" max="4351" width="9.85546875" style="18" customWidth="1"/>
    <col min="4352" max="4352" width="7.85546875" style="18" customWidth="1"/>
    <col min="4353" max="4353" width="11" style="18" customWidth="1"/>
    <col min="4354" max="4354" width="7.85546875" style="18" customWidth="1"/>
    <col min="4355" max="4355" width="10.5703125" style="18" customWidth="1"/>
    <col min="4356" max="4356" width="7.28515625" style="18" customWidth="1"/>
    <col min="4357" max="4357" width="10.140625" style="18" customWidth="1"/>
    <col min="4358" max="4358" width="7.7109375" style="18" customWidth="1"/>
    <col min="4359" max="4359" width="9.85546875" style="18" customWidth="1"/>
    <col min="4360" max="4360" width="8.28515625" style="18" customWidth="1"/>
    <col min="4361" max="4361" width="11.140625" style="18" customWidth="1"/>
    <col min="4362" max="4362" width="7.85546875" style="18" customWidth="1"/>
    <col min="4363" max="4363" width="11.5703125" style="18" customWidth="1"/>
    <col min="4364" max="4365" width="9.140625" style="18"/>
    <col min="4366" max="4366" width="12.28515625" style="18" customWidth="1"/>
    <col min="4367" max="4590" width="9.140625" style="18"/>
    <col min="4591" max="4591" width="38" style="18" customWidth="1"/>
    <col min="4592" max="4592" width="8" style="18" customWidth="1"/>
    <col min="4593" max="4593" width="12.140625" style="18" customWidth="1"/>
    <col min="4594" max="4594" width="8.5703125" style="18" customWidth="1"/>
    <col min="4595" max="4595" width="11.42578125" style="18" customWidth="1"/>
    <col min="4596" max="4596" width="7.140625" style="18" customWidth="1"/>
    <col min="4597" max="4597" width="10.7109375" style="18" customWidth="1"/>
    <col min="4598" max="4598" width="7.42578125" style="18" customWidth="1"/>
    <col min="4599" max="4599" width="11" style="18" customWidth="1"/>
    <col min="4600" max="4600" width="8.5703125" style="18" customWidth="1"/>
    <col min="4601" max="4601" width="11" style="18" customWidth="1"/>
    <col min="4602" max="4602" width="8.42578125" style="18" customWidth="1"/>
    <col min="4603" max="4603" width="11.28515625" style="18" customWidth="1"/>
    <col min="4604" max="4604" width="7.140625" style="18" customWidth="1"/>
    <col min="4605" max="4605" width="9.42578125" style="18" customWidth="1"/>
    <col min="4606" max="4606" width="7.140625" style="18" customWidth="1"/>
    <col min="4607" max="4607" width="9.85546875" style="18" customWidth="1"/>
    <col min="4608" max="4608" width="7.85546875" style="18" customWidth="1"/>
    <col min="4609" max="4609" width="11" style="18" customWidth="1"/>
    <col min="4610" max="4610" width="7.85546875" style="18" customWidth="1"/>
    <col min="4611" max="4611" width="10.5703125" style="18" customWidth="1"/>
    <col min="4612" max="4612" width="7.28515625" style="18" customWidth="1"/>
    <col min="4613" max="4613" width="10.140625" style="18" customWidth="1"/>
    <col min="4614" max="4614" width="7.7109375" style="18" customWidth="1"/>
    <col min="4615" max="4615" width="9.85546875" style="18" customWidth="1"/>
    <col min="4616" max="4616" width="8.28515625" style="18" customWidth="1"/>
    <col min="4617" max="4617" width="11.140625" style="18" customWidth="1"/>
    <col min="4618" max="4618" width="7.85546875" style="18" customWidth="1"/>
    <col min="4619" max="4619" width="11.5703125" style="18" customWidth="1"/>
    <col min="4620" max="4621" width="9.140625" style="18"/>
    <col min="4622" max="4622" width="12.28515625" style="18" customWidth="1"/>
    <col min="4623" max="4846" width="9.140625" style="18"/>
    <col min="4847" max="4847" width="38" style="18" customWidth="1"/>
    <col min="4848" max="4848" width="8" style="18" customWidth="1"/>
    <col min="4849" max="4849" width="12.140625" style="18" customWidth="1"/>
    <col min="4850" max="4850" width="8.5703125" style="18" customWidth="1"/>
    <col min="4851" max="4851" width="11.42578125" style="18" customWidth="1"/>
    <col min="4852" max="4852" width="7.140625" style="18" customWidth="1"/>
    <col min="4853" max="4853" width="10.7109375" style="18" customWidth="1"/>
    <col min="4854" max="4854" width="7.42578125" style="18" customWidth="1"/>
    <col min="4855" max="4855" width="11" style="18" customWidth="1"/>
    <col min="4856" max="4856" width="8.5703125" style="18" customWidth="1"/>
    <col min="4857" max="4857" width="11" style="18" customWidth="1"/>
    <col min="4858" max="4858" width="8.42578125" style="18" customWidth="1"/>
    <col min="4859" max="4859" width="11.28515625" style="18" customWidth="1"/>
    <col min="4860" max="4860" width="7.140625" style="18" customWidth="1"/>
    <col min="4861" max="4861" width="9.42578125" style="18" customWidth="1"/>
    <col min="4862" max="4862" width="7.140625" style="18" customWidth="1"/>
    <col min="4863" max="4863" width="9.85546875" style="18" customWidth="1"/>
    <col min="4864" max="4864" width="7.85546875" style="18" customWidth="1"/>
    <col min="4865" max="4865" width="11" style="18" customWidth="1"/>
    <col min="4866" max="4866" width="7.85546875" style="18" customWidth="1"/>
    <col min="4867" max="4867" width="10.5703125" style="18" customWidth="1"/>
    <col min="4868" max="4868" width="7.28515625" style="18" customWidth="1"/>
    <col min="4869" max="4869" width="10.140625" style="18" customWidth="1"/>
    <col min="4870" max="4870" width="7.7109375" style="18" customWidth="1"/>
    <col min="4871" max="4871" width="9.85546875" style="18" customWidth="1"/>
    <col min="4872" max="4872" width="8.28515625" style="18" customWidth="1"/>
    <col min="4873" max="4873" width="11.140625" style="18" customWidth="1"/>
    <col min="4874" max="4874" width="7.85546875" style="18" customWidth="1"/>
    <col min="4875" max="4875" width="11.5703125" style="18" customWidth="1"/>
    <col min="4876" max="4877" width="9.140625" style="18"/>
    <col min="4878" max="4878" width="12.28515625" style="18" customWidth="1"/>
    <col min="4879" max="5102" width="9.140625" style="18"/>
    <col min="5103" max="5103" width="38" style="18" customWidth="1"/>
    <col min="5104" max="5104" width="8" style="18" customWidth="1"/>
    <col min="5105" max="5105" width="12.140625" style="18" customWidth="1"/>
    <col min="5106" max="5106" width="8.5703125" style="18" customWidth="1"/>
    <col min="5107" max="5107" width="11.42578125" style="18" customWidth="1"/>
    <col min="5108" max="5108" width="7.140625" style="18" customWidth="1"/>
    <col min="5109" max="5109" width="10.7109375" style="18" customWidth="1"/>
    <col min="5110" max="5110" width="7.42578125" style="18" customWidth="1"/>
    <col min="5111" max="5111" width="11" style="18" customWidth="1"/>
    <col min="5112" max="5112" width="8.5703125" style="18" customWidth="1"/>
    <col min="5113" max="5113" width="11" style="18" customWidth="1"/>
    <col min="5114" max="5114" width="8.42578125" style="18" customWidth="1"/>
    <col min="5115" max="5115" width="11.28515625" style="18" customWidth="1"/>
    <col min="5116" max="5116" width="7.140625" style="18" customWidth="1"/>
    <col min="5117" max="5117" width="9.42578125" style="18" customWidth="1"/>
    <col min="5118" max="5118" width="7.140625" style="18" customWidth="1"/>
    <col min="5119" max="5119" width="9.85546875" style="18" customWidth="1"/>
    <col min="5120" max="5120" width="7.85546875" style="18" customWidth="1"/>
    <col min="5121" max="5121" width="11" style="18" customWidth="1"/>
    <col min="5122" max="5122" width="7.85546875" style="18" customWidth="1"/>
    <col min="5123" max="5123" width="10.5703125" style="18" customWidth="1"/>
    <col min="5124" max="5124" width="7.28515625" style="18" customWidth="1"/>
    <col min="5125" max="5125" width="10.140625" style="18" customWidth="1"/>
    <col min="5126" max="5126" width="7.7109375" style="18" customWidth="1"/>
    <col min="5127" max="5127" width="9.85546875" style="18" customWidth="1"/>
    <col min="5128" max="5128" width="8.28515625" style="18" customWidth="1"/>
    <col min="5129" max="5129" width="11.140625" style="18" customWidth="1"/>
    <col min="5130" max="5130" width="7.85546875" style="18" customWidth="1"/>
    <col min="5131" max="5131" width="11.5703125" style="18" customWidth="1"/>
    <col min="5132" max="5133" width="9.140625" style="18"/>
    <col min="5134" max="5134" width="12.28515625" style="18" customWidth="1"/>
    <col min="5135" max="5358" width="9.140625" style="18"/>
    <col min="5359" max="5359" width="38" style="18" customWidth="1"/>
    <col min="5360" max="5360" width="8" style="18" customWidth="1"/>
    <col min="5361" max="5361" width="12.140625" style="18" customWidth="1"/>
    <col min="5362" max="5362" width="8.5703125" style="18" customWidth="1"/>
    <col min="5363" max="5363" width="11.42578125" style="18" customWidth="1"/>
    <col min="5364" max="5364" width="7.140625" style="18" customWidth="1"/>
    <col min="5365" max="5365" width="10.7109375" style="18" customWidth="1"/>
    <col min="5366" max="5366" width="7.42578125" style="18" customWidth="1"/>
    <col min="5367" max="5367" width="11" style="18" customWidth="1"/>
    <col min="5368" max="5368" width="8.5703125" style="18" customWidth="1"/>
    <col min="5369" max="5369" width="11" style="18" customWidth="1"/>
    <col min="5370" max="5370" width="8.42578125" style="18" customWidth="1"/>
    <col min="5371" max="5371" width="11.28515625" style="18" customWidth="1"/>
    <col min="5372" max="5372" width="7.140625" style="18" customWidth="1"/>
    <col min="5373" max="5373" width="9.42578125" style="18" customWidth="1"/>
    <col min="5374" max="5374" width="7.140625" style="18" customWidth="1"/>
    <col min="5375" max="5375" width="9.85546875" style="18" customWidth="1"/>
    <col min="5376" max="5376" width="7.85546875" style="18" customWidth="1"/>
    <col min="5377" max="5377" width="11" style="18" customWidth="1"/>
    <col min="5378" max="5378" width="7.85546875" style="18" customWidth="1"/>
    <col min="5379" max="5379" width="10.5703125" style="18" customWidth="1"/>
    <col min="5380" max="5380" width="7.28515625" style="18" customWidth="1"/>
    <col min="5381" max="5381" width="10.140625" style="18" customWidth="1"/>
    <col min="5382" max="5382" width="7.7109375" style="18" customWidth="1"/>
    <col min="5383" max="5383" width="9.85546875" style="18" customWidth="1"/>
    <col min="5384" max="5384" width="8.28515625" style="18" customWidth="1"/>
    <col min="5385" max="5385" width="11.140625" style="18" customWidth="1"/>
    <col min="5386" max="5386" width="7.85546875" style="18" customWidth="1"/>
    <col min="5387" max="5387" width="11.5703125" style="18" customWidth="1"/>
    <col min="5388" max="5389" width="9.140625" style="18"/>
    <col min="5390" max="5390" width="12.28515625" style="18" customWidth="1"/>
    <col min="5391" max="5614" width="9.140625" style="18"/>
    <col min="5615" max="5615" width="38" style="18" customWidth="1"/>
    <col min="5616" max="5616" width="8" style="18" customWidth="1"/>
    <col min="5617" max="5617" width="12.140625" style="18" customWidth="1"/>
    <col min="5618" max="5618" width="8.5703125" style="18" customWidth="1"/>
    <col min="5619" max="5619" width="11.42578125" style="18" customWidth="1"/>
    <col min="5620" max="5620" width="7.140625" style="18" customWidth="1"/>
    <col min="5621" max="5621" width="10.7109375" style="18" customWidth="1"/>
    <col min="5622" max="5622" width="7.42578125" style="18" customWidth="1"/>
    <col min="5623" max="5623" width="11" style="18" customWidth="1"/>
    <col min="5624" max="5624" width="8.5703125" style="18" customWidth="1"/>
    <col min="5625" max="5625" width="11" style="18" customWidth="1"/>
    <col min="5626" max="5626" width="8.42578125" style="18" customWidth="1"/>
    <col min="5627" max="5627" width="11.28515625" style="18" customWidth="1"/>
    <col min="5628" max="5628" width="7.140625" style="18" customWidth="1"/>
    <col min="5629" max="5629" width="9.42578125" style="18" customWidth="1"/>
    <col min="5630" max="5630" width="7.140625" style="18" customWidth="1"/>
    <col min="5631" max="5631" width="9.85546875" style="18" customWidth="1"/>
    <col min="5632" max="5632" width="7.85546875" style="18" customWidth="1"/>
    <col min="5633" max="5633" width="11" style="18" customWidth="1"/>
    <col min="5634" max="5634" width="7.85546875" style="18" customWidth="1"/>
    <col min="5635" max="5635" width="10.5703125" style="18" customWidth="1"/>
    <col min="5636" max="5636" width="7.28515625" style="18" customWidth="1"/>
    <col min="5637" max="5637" width="10.140625" style="18" customWidth="1"/>
    <col min="5638" max="5638" width="7.7109375" style="18" customWidth="1"/>
    <col min="5639" max="5639" width="9.85546875" style="18" customWidth="1"/>
    <col min="5640" max="5640" width="8.28515625" style="18" customWidth="1"/>
    <col min="5641" max="5641" width="11.140625" style="18" customWidth="1"/>
    <col min="5642" max="5642" width="7.85546875" style="18" customWidth="1"/>
    <col min="5643" max="5643" width="11.5703125" style="18" customWidth="1"/>
    <col min="5644" max="5645" width="9.140625" style="18"/>
    <col min="5646" max="5646" width="12.28515625" style="18" customWidth="1"/>
    <col min="5647" max="5870" width="9.140625" style="18"/>
    <col min="5871" max="5871" width="38" style="18" customWidth="1"/>
    <col min="5872" max="5872" width="8" style="18" customWidth="1"/>
    <col min="5873" max="5873" width="12.140625" style="18" customWidth="1"/>
    <col min="5874" max="5874" width="8.5703125" style="18" customWidth="1"/>
    <col min="5875" max="5875" width="11.42578125" style="18" customWidth="1"/>
    <col min="5876" max="5876" width="7.140625" style="18" customWidth="1"/>
    <col min="5877" max="5877" width="10.7109375" style="18" customWidth="1"/>
    <col min="5878" max="5878" width="7.42578125" style="18" customWidth="1"/>
    <col min="5879" max="5879" width="11" style="18" customWidth="1"/>
    <col min="5880" max="5880" width="8.5703125" style="18" customWidth="1"/>
    <col min="5881" max="5881" width="11" style="18" customWidth="1"/>
    <col min="5882" max="5882" width="8.42578125" style="18" customWidth="1"/>
    <col min="5883" max="5883" width="11.28515625" style="18" customWidth="1"/>
    <col min="5884" max="5884" width="7.140625" style="18" customWidth="1"/>
    <col min="5885" max="5885" width="9.42578125" style="18" customWidth="1"/>
    <col min="5886" max="5886" width="7.140625" style="18" customWidth="1"/>
    <col min="5887" max="5887" width="9.85546875" style="18" customWidth="1"/>
    <col min="5888" max="5888" width="7.85546875" style="18" customWidth="1"/>
    <col min="5889" max="5889" width="11" style="18" customWidth="1"/>
    <col min="5890" max="5890" width="7.85546875" style="18" customWidth="1"/>
    <col min="5891" max="5891" width="10.5703125" style="18" customWidth="1"/>
    <col min="5892" max="5892" width="7.28515625" style="18" customWidth="1"/>
    <col min="5893" max="5893" width="10.140625" style="18" customWidth="1"/>
    <col min="5894" max="5894" width="7.7109375" style="18" customWidth="1"/>
    <col min="5895" max="5895" width="9.85546875" style="18" customWidth="1"/>
    <col min="5896" max="5896" width="8.28515625" style="18" customWidth="1"/>
    <col min="5897" max="5897" width="11.140625" style="18" customWidth="1"/>
    <col min="5898" max="5898" width="7.85546875" style="18" customWidth="1"/>
    <col min="5899" max="5899" width="11.5703125" style="18" customWidth="1"/>
    <col min="5900" max="5901" width="9.140625" style="18"/>
    <col min="5902" max="5902" width="12.28515625" style="18" customWidth="1"/>
    <col min="5903" max="6126" width="9.140625" style="18"/>
    <col min="6127" max="6127" width="38" style="18" customWidth="1"/>
    <col min="6128" max="6128" width="8" style="18" customWidth="1"/>
    <col min="6129" max="6129" width="12.140625" style="18" customWidth="1"/>
    <col min="6130" max="6130" width="8.5703125" style="18" customWidth="1"/>
    <col min="6131" max="6131" width="11.42578125" style="18" customWidth="1"/>
    <col min="6132" max="6132" width="7.140625" style="18" customWidth="1"/>
    <col min="6133" max="6133" width="10.7109375" style="18" customWidth="1"/>
    <col min="6134" max="6134" width="7.42578125" style="18" customWidth="1"/>
    <col min="6135" max="6135" width="11" style="18" customWidth="1"/>
    <col min="6136" max="6136" width="8.5703125" style="18" customWidth="1"/>
    <col min="6137" max="6137" width="11" style="18" customWidth="1"/>
    <col min="6138" max="6138" width="8.42578125" style="18" customWidth="1"/>
    <col min="6139" max="6139" width="11.28515625" style="18" customWidth="1"/>
    <col min="6140" max="6140" width="7.140625" style="18" customWidth="1"/>
    <col min="6141" max="6141" width="9.42578125" style="18" customWidth="1"/>
    <col min="6142" max="6142" width="7.140625" style="18" customWidth="1"/>
    <col min="6143" max="6143" width="9.85546875" style="18" customWidth="1"/>
    <col min="6144" max="6144" width="7.85546875" style="18" customWidth="1"/>
    <col min="6145" max="6145" width="11" style="18" customWidth="1"/>
    <col min="6146" max="6146" width="7.85546875" style="18" customWidth="1"/>
    <col min="6147" max="6147" width="10.5703125" style="18" customWidth="1"/>
    <col min="6148" max="6148" width="7.28515625" style="18" customWidth="1"/>
    <col min="6149" max="6149" width="10.140625" style="18" customWidth="1"/>
    <col min="6150" max="6150" width="7.7109375" style="18" customWidth="1"/>
    <col min="6151" max="6151" width="9.85546875" style="18" customWidth="1"/>
    <col min="6152" max="6152" width="8.28515625" style="18" customWidth="1"/>
    <col min="6153" max="6153" width="11.140625" style="18" customWidth="1"/>
    <col min="6154" max="6154" width="7.85546875" style="18" customWidth="1"/>
    <col min="6155" max="6155" width="11.5703125" style="18" customWidth="1"/>
    <col min="6156" max="6157" width="9.140625" style="18"/>
    <col min="6158" max="6158" width="12.28515625" style="18" customWidth="1"/>
    <col min="6159" max="6382" width="9.140625" style="18"/>
    <col min="6383" max="6383" width="38" style="18" customWidth="1"/>
    <col min="6384" max="6384" width="8" style="18" customWidth="1"/>
    <col min="6385" max="6385" width="12.140625" style="18" customWidth="1"/>
    <col min="6386" max="6386" width="8.5703125" style="18" customWidth="1"/>
    <col min="6387" max="6387" width="11.42578125" style="18" customWidth="1"/>
    <col min="6388" max="6388" width="7.140625" style="18" customWidth="1"/>
    <col min="6389" max="6389" width="10.7109375" style="18" customWidth="1"/>
    <col min="6390" max="6390" width="7.42578125" style="18" customWidth="1"/>
    <col min="6391" max="6391" width="11" style="18" customWidth="1"/>
    <col min="6392" max="6392" width="8.5703125" style="18" customWidth="1"/>
    <col min="6393" max="6393" width="11" style="18" customWidth="1"/>
    <col min="6394" max="6394" width="8.42578125" style="18" customWidth="1"/>
    <col min="6395" max="6395" width="11.28515625" style="18" customWidth="1"/>
    <col min="6396" max="6396" width="7.140625" style="18" customWidth="1"/>
    <col min="6397" max="6397" width="9.42578125" style="18" customWidth="1"/>
    <col min="6398" max="6398" width="7.140625" style="18" customWidth="1"/>
    <col min="6399" max="6399" width="9.85546875" style="18" customWidth="1"/>
    <col min="6400" max="6400" width="7.85546875" style="18" customWidth="1"/>
    <col min="6401" max="6401" width="11" style="18" customWidth="1"/>
    <col min="6402" max="6402" width="7.85546875" style="18" customWidth="1"/>
    <col min="6403" max="6403" width="10.5703125" style="18" customWidth="1"/>
    <col min="6404" max="6404" width="7.28515625" style="18" customWidth="1"/>
    <col min="6405" max="6405" width="10.140625" style="18" customWidth="1"/>
    <col min="6406" max="6406" width="7.7109375" style="18" customWidth="1"/>
    <col min="6407" max="6407" width="9.85546875" style="18" customWidth="1"/>
    <col min="6408" max="6408" width="8.28515625" style="18" customWidth="1"/>
    <col min="6409" max="6409" width="11.140625" style="18" customWidth="1"/>
    <col min="6410" max="6410" width="7.85546875" style="18" customWidth="1"/>
    <col min="6411" max="6411" width="11.5703125" style="18" customWidth="1"/>
    <col min="6412" max="6413" width="9.140625" style="18"/>
    <col min="6414" max="6414" width="12.28515625" style="18" customWidth="1"/>
    <col min="6415" max="6638" width="9.140625" style="18"/>
    <col min="6639" max="6639" width="38" style="18" customWidth="1"/>
    <col min="6640" max="6640" width="8" style="18" customWidth="1"/>
    <col min="6641" max="6641" width="12.140625" style="18" customWidth="1"/>
    <col min="6642" max="6642" width="8.5703125" style="18" customWidth="1"/>
    <col min="6643" max="6643" width="11.42578125" style="18" customWidth="1"/>
    <col min="6644" max="6644" width="7.140625" style="18" customWidth="1"/>
    <col min="6645" max="6645" width="10.7109375" style="18" customWidth="1"/>
    <col min="6646" max="6646" width="7.42578125" style="18" customWidth="1"/>
    <col min="6647" max="6647" width="11" style="18" customWidth="1"/>
    <col min="6648" max="6648" width="8.5703125" style="18" customWidth="1"/>
    <col min="6649" max="6649" width="11" style="18" customWidth="1"/>
    <col min="6650" max="6650" width="8.42578125" style="18" customWidth="1"/>
    <col min="6651" max="6651" width="11.28515625" style="18" customWidth="1"/>
    <col min="6652" max="6652" width="7.140625" style="18" customWidth="1"/>
    <col min="6653" max="6653" width="9.42578125" style="18" customWidth="1"/>
    <col min="6654" max="6654" width="7.140625" style="18" customWidth="1"/>
    <col min="6655" max="6655" width="9.85546875" style="18" customWidth="1"/>
    <col min="6656" max="6656" width="7.85546875" style="18" customWidth="1"/>
    <col min="6657" max="6657" width="11" style="18" customWidth="1"/>
    <col min="6658" max="6658" width="7.85546875" style="18" customWidth="1"/>
    <col min="6659" max="6659" width="10.5703125" style="18" customWidth="1"/>
    <col min="6660" max="6660" width="7.28515625" style="18" customWidth="1"/>
    <col min="6661" max="6661" width="10.140625" style="18" customWidth="1"/>
    <col min="6662" max="6662" width="7.7109375" style="18" customWidth="1"/>
    <col min="6663" max="6663" width="9.85546875" style="18" customWidth="1"/>
    <col min="6664" max="6664" width="8.28515625" style="18" customWidth="1"/>
    <col min="6665" max="6665" width="11.140625" style="18" customWidth="1"/>
    <col min="6666" max="6666" width="7.85546875" style="18" customWidth="1"/>
    <col min="6667" max="6667" width="11.5703125" style="18" customWidth="1"/>
    <col min="6668" max="6669" width="9.140625" style="18"/>
    <col min="6670" max="6670" width="12.28515625" style="18" customWidth="1"/>
    <col min="6671" max="6894" width="9.140625" style="18"/>
    <col min="6895" max="6895" width="38" style="18" customWidth="1"/>
    <col min="6896" max="6896" width="8" style="18" customWidth="1"/>
    <col min="6897" max="6897" width="12.140625" style="18" customWidth="1"/>
    <col min="6898" max="6898" width="8.5703125" style="18" customWidth="1"/>
    <col min="6899" max="6899" width="11.42578125" style="18" customWidth="1"/>
    <col min="6900" max="6900" width="7.140625" style="18" customWidth="1"/>
    <col min="6901" max="6901" width="10.7109375" style="18" customWidth="1"/>
    <col min="6902" max="6902" width="7.42578125" style="18" customWidth="1"/>
    <col min="6903" max="6903" width="11" style="18" customWidth="1"/>
    <col min="6904" max="6904" width="8.5703125" style="18" customWidth="1"/>
    <col min="6905" max="6905" width="11" style="18" customWidth="1"/>
    <col min="6906" max="6906" width="8.42578125" style="18" customWidth="1"/>
    <col min="6907" max="6907" width="11.28515625" style="18" customWidth="1"/>
    <col min="6908" max="6908" width="7.140625" style="18" customWidth="1"/>
    <col min="6909" max="6909" width="9.42578125" style="18" customWidth="1"/>
    <col min="6910" max="6910" width="7.140625" style="18" customWidth="1"/>
    <col min="6911" max="6911" width="9.85546875" style="18" customWidth="1"/>
    <col min="6912" max="6912" width="7.85546875" style="18" customWidth="1"/>
    <col min="6913" max="6913" width="11" style="18" customWidth="1"/>
    <col min="6914" max="6914" width="7.85546875" style="18" customWidth="1"/>
    <col min="6915" max="6915" width="10.5703125" style="18" customWidth="1"/>
    <col min="6916" max="6916" width="7.28515625" style="18" customWidth="1"/>
    <col min="6917" max="6917" width="10.140625" style="18" customWidth="1"/>
    <col min="6918" max="6918" width="7.7109375" style="18" customWidth="1"/>
    <col min="6919" max="6919" width="9.85546875" style="18" customWidth="1"/>
    <col min="6920" max="6920" width="8.28515625" style="18" customWidth="1"/>
    <col min="6921" max="6921" width="11.140625" style="18" customWidth="1"/>
    <col min="6922" max="6922" width="7.85546875" style="18" customWidth="1"/>
    <col min="6923" max="6923" width="11.5703125" style="18" customWidth="1"/>
    <col min="6924" max="6925" width="9.140625" style="18"/>
    <col min="6926" max="6926" width="12.28515625" style="18" customWidth="1"/>
    <col min="6927" max="7150" width="9.140625" style="18"/>
    <col min="7151" max="7151" width="38" style="18" customWidth="1"/>
    <col min="7152" max="7152" width="8" style="18" customWidth="1"/>
    <col min="7153" max="7153" width="12.140625" style="18" customWidth="1"/>
    <col min="7154" max="7154" width="8.5703125" style="18" customWidth="1"/>
    <col min="7155" max="7155" width="11.42578125" style="18" customWidth="1"/>
    <col min="7156" max="7156" width="7.140625" style="18" customWidth="1"/>
    <col min="7157" max="7157" width="10.7109375" style="18" customWidth="1"/>
    <col min="7158" max="7158" width="7.42578125" style="18" customWidth="1"/>
    <col min="7159" max="7159" width="11" style="18" customWidth="1"/>
    <col min="7160" max="7160" width="8.5703125" style="18" customWidth="1"/>
    <col min="7161" max="7161" width="11" style="18" customWidth="1"/>
    <col min="7162" max="7162" width="8.42578125" style="18" customWidth="1"/>
    <col min="7163" max="7163" width="11.28515625" style="18" customWidth="1"/>
    <col min="7164" max="7164" width="7.140625" style="18" customWidth="1"/>
    <col min="7165" max="7165" width="9.42578125" style="18" customWidth="1"/>
    <col min="7166" max="7166" width="7.140625" style="18" customWidth="1"/>
    <col min="7167" max="7167" width="9.85546875" style="18" customWidth="1"/>
    <col min="7168" max="7168" width="7.85546875" style="18" customWidth="1"/>
    <col min="7169" max="7169" width="11" style="18" customWidth="1"/>
    <col min="7170" max="7170" width="7.85546875" style="18" customWidth="1"/>
    <col min="7171" max="7171" width="10.5703125" style="18" customWidth="1"/>
    <col min="7172" max="7172" width="7.28515625" style="18" customWidth="1"/>
    <col min="7173" max="7173" width="10.140625" style="18" customWidth="1"/>
    <col min="7174" max="7174" width="7.7109375" style="18" customWidth="1"/>
    <col min="7175" max="7175" width="9.85546875" style="18" customWidth="1"/>
    <col min="7176" max="7176" width="8.28515625" style="18" customWidth="1"/>
    <col min="7177" max="7177" width="11.140625" style="18" customWidth="1"/>
    <col min="7178" max="7178" width="7.85546875" style="18" customWidth="1"/>
    <col min="7179" max="7179" width="11.5703125" style="18" customWidth="1"/>
    <col min="7180" max="7181" width="9.140625" style="18"/>
    <col min="7182" max="7182" width="12.28515625" style="18" customWidth="1"/>
    <col min="7183" max="7406" width="9.140625" style="18"/>
    <col min="7407" max="7407" width="38" style="18" customWidth="1"/>
    <col min="7408" max="7408" width="8" style="18" customWidth="1"/>
    <col min="7409" max="7409" width="12.140625" style="18" customWidth="1"/>
    <col min="7410" max="7410" width="8.5703125" style="18" customWidth="1"/>
    <col min="7411" max="7411" width="11.42578125" style="18" customWidth="1"/>
    <col min="7412" max="7412" width="7.140625" style="18" customWidth="1"/>
    <col min="7413" max="7413" width="10.7109375" style="18" customWidth="1"/>
    <col min="7414" max="7414" width="7.42578125" style="18" customWidth="1"/>
    <col min="7415" max="7415" width="11" style="18" customWidth="1"/>
    <col min="7416" max="7416" width="8.5703125" style="18" customWidth="1"/>
    <col min="7417" max="7417" width="11" style="18" customWidth="1"/>
    <col min="7418" max="7418" width="8.42578125" style="18" customWidth="1"/>
    <col min="7419" max="7419" width="11.28515625" style="18" customWidth="1"/>
    <col min="7420" max="7420" width="7.140625" style="18" customWidth="1"/>
    <col min="7421" max="7421" width="9.42578125" style="18" customWidth="1"/>
    <col min="7422" max="7422" width="7.140625" style="18" customWidth="1"/>
    <col min="7423" max="7423" width="9.85546875" style="18" customWidth="1"/>
    <col min="7424" max="7424" width="7.85546875" style="18" customWidth="1"/>
    <col min="7425" max="7425" width="11" style="18" customWidth="1"/>
    <col min="7426" max="7426" width="7.85546875" style="18" customWidth="1"/>
    <col min="7427" max="7427" width="10.5703125" style="18" customWidth="1"/>
    <col min="7428" max="7428" width="7.28515625" style="18" customWidth="1"/>
    <col min="7429" max="7429" width="10.140625" style="18" customWidth="1"/>
    <col min="7430" max="7430" width="7.7109375" style="18" customWidth="1"/>
    <col min="7431" max="7431" width="9.85546875" style="18" customWidth="1"/>
    <col min="7432" max="7432" width="8.28515625" style="18" customWidth="1"/>
    <col min="7433" max="7433" width="11.140625" style="18" customWidth="1"/>
    <col min="7434" max="7434" width="7.85546875" style="18" customWidth="1"/>
    <col min="7435" max="7435" width="11.5703125" style="18" customWidth="1"/>
    <col min="7436" max="7437" width="9.140625" style="18"/>
    <col min="7438" max="7438" width="12.28515625" style="18" customWidth="1"/>
    <col min="7439" max="7662" width="9.140625" style="18"/>
    <col min="7663" max="7663" width="38" style="18" customWidth="1"/>
    <col min="7664" max="7664" width="8" style="18" customWidth="1"/>
    <col min="7665" max="7665" width="12.140625" style="18" customWidth="1"/>
    <col min="7666" max="7666" width="8.5703125" style="18" customWidth="1"/>
    <col min="7667" max="7667" width="11.42578125" style="18" customWidth="1"/>
    <col min="7668" max="7668" width="7.140625" style="18" customWidth="1"/>
    <col min="7669" max="7669" width="10.7109375" style="18" customWidth="1"/>
    <col min="7670" max="7670" width="7.42578125" style="18" customWidth="1"/>
    <col min="7671" max="7671" width="11" style="18" customWidth="1"/>
    <col min="7672" max="7672" width="8.5703125" style="18" customWidth="1"/>
    <col min="7673" max="7673" width="11" style="18" customWidth="1"/>
    <col min="7674" max="7674" width="8.42578125" style="18" customWidth="1"/>
    <col min="7675" max="7675" width="11.28515625" style="18" customWidth="1"/>
    <col min="7676" max="7676" width="7.140625" style="18" customWidth="1"/>
    <col min="7677" max="7677" width="9.42578125" style="18" customWidth="1"/>
    <col min="7678" max="7678" width="7.140625" style="18" customWidth="1"/>
    <col min="7679" max="7679" width="9.85546875" style="18" customWidth="1"/>
    <col min="7680" max="7680" width="7.85546875" style="18" customWidth="1"/>
    <col min="7681" max="7681" width="11" style="18" customWidth="1"/>
    <col min="7682" max="7682" width="7.85546875" style="18" customWidth="1"/>
    <col min="7683" max="7683" width="10.5703125" style="18" customWidth="1"/>
    <col min="7684" max="7684" width="7.28515625" style="18" customWidth="1"/>
    <col min="7685" max="7685" width="10.140625" style="18" customWidth="1"/>
    <col min="7686" max="7686" width="7.7109375" style="18" customWidth="1"/>
    <col min="7687" max="7687" width="9.85546875" style="18" customWidth="1"/>
    <col min="7688" max="7688" width="8.28515625" style="18" customWidth="1"/>
    <col min="7689" max="7689" width="11.140625" style="18" customWidth="1"/>
    <col min="7690" max="7690" width="7.85546875" style="18" customWidth="1"/>
    <col min="7691" max="7691" width="11.5703125" style="18" customWidth="1"/>
    <col min="7692" max="7693" width="9.140625" style="18"/>
    <col min="7694" max="7694" width="12.28515625" style="18" customWidth="1"/>
    <col min="7695" max="7918" width="9.140625" style="18"/>
    <col min="7919" max="7919" width="38" style="18" customWidth="1"/>
    <col min="7920" max="7920" width="8" style="18" customWidth="1"/>
    <col min="7921" max="7921" width="12.140625" style="18" customWidth="1"/>
    <col min="7922" max="7922" width="8.5703125" style="18" customWidth="1"/>
    <col min="7923" max="7923" width="11.42578125" style="18" customWidth="1"/>
    <col min="7924" max="7924" width="7.140625" style="18" customWidth="1"/>
    <col min="7925" max="7925" width="10.7109375" style="18" customWidth="1"/>
    <col min="7926" max="7926" width="7.42578125" style="18" customWidth="1"/>
    <col min="7927" max="7927" width="11" style="18" customWidth="1"/>
    <col min="7928" max="7928" width="8.5703125" style="18" customWidth="1"/>
    <col min="7929" max="7929" width="11" style="18" customWidth="1"/>
    <col min="7930" max="7930" width="8.42578125" style="18" customWidth="1"/>
    <col min="7931" max="7931" width="11.28515625" style="18" customWidth="1"/>
    <col min="7932" max="7932" width="7.140625" style="18" customWidth="1"/>
    <col min="7933" max="7933" width="9.42578125" style="18" customWidth="1"/>
    <col min="7934" max="7934" width="7.140625" style="18" customWidth="1"/>
    <col min="7935" max="7935" width="9.85546875" style="18" customWidth="1"/>
    <col min="7936" max="7936" width="7.85546875" style="18" customWidth="1"/>
    <col min="7937" max="7937" width="11" style="18" customWidth="1"/>
    <col min="7938" max="7938" width="7.85546875" style="18" customWidth="1"/>
    <col min="7939" max="7939" width="10.5703125" style="18" customWidth="1"/>
    <col min="7940" max="7940" width="7.28515625" style="18" customWidth="1"/>
    <col min="7941" max="7941" width="10.140625" style="18" customWidth="1"/>
    <col min="7942" max="7942" width="7.7109375" style="18" customWidth="1"/>
    <col min="7943" max="7943" width="9.85546875" style="18" customWidth="1"/>
    <col min="7944" max="7944" width="8.28515625" style="18" customWidth="1"/>
    <col min="7945" max="7945" width="11.140625" style="18" customWidth="1"/>
    <col min="7946" max="7946" width="7.85546875" style="18" customWidth="1"/>
    <col min="7947" max="7947" width="11.5703125" style="18" customWidth="1"/>
    <col min="7948" max="7949" width="9.140625" style="18"/>
    <col min="7950" max="7950" width="12.28515625" style="18" customWidth="1"/>
    <col min="7951" max="8174" width="9.140625" style="18"/>
    <col min="8175" max="8175" width="38" style="18" customWidth="1"/>
    <col min="8176" max="8176" width="8" style="18" customWidth="1"/>
    <col min="8177" max="8177" width="12.140625" style="18" customWidth="1"/>
    <col min="8178" max="8178" width="8.5703125" style="18" customWidth="1"/>
    <col min="8179" max="8179" width="11.42578125" style="18" customWidth="1"/>
    <col min="8180" max="8180" width="7.140625" style="18" customWidth="1"/>
    <col min="8181" max="8181" width="10.7109375" style="18" customWidth="1"/>
    <col min="8182" max="8182" width="7.42578125" style="18" customWidth="1"/>
    <col min="8183" max="8183" width="11" style="18" customWidth="1"/>
    <col min="8184" max="8184" width="8.5703125" style="18" customWidth="1"/>
    <col min="8185" max="8185" width="11" style="18" customWidth="1"/>
    <col min="8186" max="8186" width="8.42578125" style="18" customWidth="1"/>
    <col min="8187" max="8187" width="11.28515625" style="18" customWidth="1"/>
    <col min="8188" max="8188" width="7.140625" style="18" customWidth="1"/>
    <col min="8189" max="8189" width="9.42578125" style="18" customWidth="1"/>
    <col min="8190" max="8190" width="7.140625" style="18" customWidth="1"/>
    <col min="8191" max="8191" width="9.85546875" style="18" customWidth="1"/>
    <col min="8192" max="8192" width="7.85546875" style="18" customWidth="1"/>
    <col min="8193" max="8193" width="11" style="18" customWidth="1"/>
    <col min="8194" max="8194" width="7.85546875" style="18" customWidth="1"/>
    <col min="8195" max="8195" width="10.5703125" style="18" customWidth="1"/>
    <col min="8196" max="8196" width="7.28515625" style="18" customWidth="1"/>
    <col min="8197" max="8197" width="10.140625" style="18" customWidth="1"/>
    <col min="8198" max="8198" width="7.7109375" style="18" customWidth="1"/>
    <col min="8199" max="8199" width="9.85546875" style="18" customWidth="1"/>
    <col min="8200" max="8200" width="8.28515625" style="18" customWidth="1"/>
    <col min="8201" max="8201" width="11.140625" style="18" customWidth="1"/>
    <col min="8202" max="8202" width="7.85546875" style="18" customWidth="1"/>
    <col min="8203" max="8203" width="11.5703125" style="18" customWidth="1"/>
    <col min="8204" max="8205" width="9.140625" style="18"/>
    <col min="8206" max="8206" width="12.28515625" style="18" customWidth="1"/>
    <col min="8207" max="8430" width="9.140625" style="18"/>
    <col min="8431" max="8431" width="38" style="18" customWidth="1"/>
    <col min="8432" max="8432" width="8" style="18" customWidth="1"/>
    <col min="8433" max="8433" width="12.140625" style="18" customWidth="1"/>
    <col min="8434" max="8434" width="8.5703125" style="18" customWidth="1"/>
    <col min="8435" max="8435" width="11.42578125" style="18" customWidth="1"/>
    <col min="8436" max="8436" width="7.140625" style="18" customWidth="1"/>
    <col min="8437" max="8437" width="10.7109375" style="18" customWidth="1"/>
    <col min="8438" max="8438" width="7.42578125" style="18" customWidth="1"/>
    <col min="8439" max="8439" width="11" style="18" customWidth="1"/>
    <col min="8440" max="8440" width="8.5703125" style="18" customWidth="1"/>
    <col min="8441" max="8441" width="11" style="18" customWidth="1"/>
    <col min="8442" max="8442" width="8.42578125" style="18" customWidth="1"/>
    <col min="8443" max="8443" width="11.28515625" style="18" customWidth="1"/>
    <col min="8444" max="8444" width="7.140625" style="18" customWidth="1"/>
    <col min="8445" max="8445" width="9.42578125" style="18" customWidth="1"/>
    <col min="8446" max="8446" width="7.140625" style="18" customWidth="1"/>
    <col min="8447" max="8447" width="9.85546875" style="18" customWidth="1"/>
    <col min="8448" max="8448" width="7.85546875" style="18" customWidth="1"/>
    <col min="8449" max="8449" width="11" style="18" customWidth="1"/>
    <col min="8450" max="8450" width="7.85546875" style="18" customWidth="1"/>
    <col min="8451" max="8451" width="10.5703125" style="18" customWidth="1"/>
    <col min="8452" max="8452" width="7.28515625" style="18" customWidth="1"/>
    <col min="8453" max="8453" width="10.140625" style="18" customWidth="1"/>
    <col min="8454" max="8454" width="7.7109375" style="18" customWidth="1"/>
    <col min="8455" max="8455" width="9.85546875" style="18" customWidth="1"/>
    <col min="8456" max="8456" width="8.28515625" style="18" customWidth="1"/>
    <col min="8457" max="8457" width="11.140625" style="18" customWidth="1"/>
    <col min="8458" max="8458" width="7.85546875" style="18" customWidth="1"/>
    <col min="8459" max="8459" width="11.5703125" style="18" customWidth="1"/>
    <col min="8460" max="8461" width="9.140625" style="18"/>
    <col min="8462" max="8462" width="12.28515625" style="18" customWidth="1"/>
    <col min="8463" max="8686" width="9.140625" style="18"/>
    <col min="8687" max="8687" width="38" style="18" customWidth="1"/>
    <col min="8688" max="8688" width="8" style="18" customWidth="1"/>
    <col min="8689" max="8689" width="12.140625" style="18" customWidth="1"/>
    <col min="8690" max="8690" width="8.5703125" style="18" customWidth="1"/>
    <col min="8691" max="8691" width="11.42578125" style="18" customWidth="1"/>
    <col min="8692" max="8692" width="7.140625" style="18" customWidth="1"/>
    <col min="8693" max="8693" width="10.7109375" style="18" customWidth="1"/>
    <col min="8694" max="8694" width="7.42578125" style="18" customWidth="1"/>
    <col min="8695" max="8695" width="11" style="18" customWidth="1"/>
    <col min="8696" max="8696" width="8.5703125" style="18" customWidth="1"/>
    <col min="8697" max="8697" width="11" style="18" customWidth="1"/>
    <col min="8698" max="8698" width="8.42578125" style="18" customWidth="1"/>
    <col min="8699" max="8699" width="11.28515625" style="18" customWidth="1"/>
    <col min="8700" max="8700" width="7.140625" style="18" customWidth="1"/>
    <col min="8701" max="8701" width="9.42578125" style="18" customWidth="1"/>
    <col min="8702" max="8702" width="7.140625" style="18" customWidth="1"/>
    <col min="8703" max="8703" width="9.85546875" style="18" customWidth="1"/>
    <col min="8704" max="8704" width="7.85546875" style="18" customWidth="1"/>
    <col min="8705" max="8705" width="11" style="18" customWidth="1"/>
    <col min="8706" max="8706" width="7.85546875" style="18" customWidth="1"/>
    <col min="8707" max="8707" width="10.5703125" style="18" customWidth="1"/>
    <col min="8708" max="8708" width="7.28515625" style="18" customWidth="1"/>
    <col min="8709" max="8709" width="10.140625" style="18" customWidth="1"/>
    <col min="8710" max="8710" width="7.7109375" style="18" customWidth="1"/>
    <col min="8711" max="8711" width="9.85546875" style="18" customWidth="1"/>
    <col min="8712" max="8712" width="8.28515625" style="18" customWidth="1"/>
    <col min="8713" max="8713" width="11.140625" style="18" customWidth="1"/>
    <col min="8714" max="8714" width="7.85546875" style="18" customWidth="1"/>
    <col min="8715" max="8715" width="11.5703125" style="18" customWidth="1"/>
    <col min="8716" max="8717" width="9.140625" style="18"/>
    <col min="8718" max="8718" width="12.28515625" style="18" customWidth="1"/>
    <col min="8719" max="8942" width="9.140625" style="18"/>
    <col min="8943" max="8943" width="38" style="18" customWidth="1"/>
    <col min="8944" max="8944" width="8" style="18" customWidth="1"/>
    <col min="8945" max="8945" width="12.140625" style="18" customWidth="1"/>
    <col min="8946" max="8946" width="8.5703125" style="18" customWidth="1"/>
    <col min="8947" max="8947" width="11.42578125" style="18" customWidth="1"/>
    <col min="8948" max="8948" width="7.140625" style="18" customWidth="1"/>
    <col min="8949" max="8949" width="10.7109375" style="18" customWidth="1"/>
    <col min="8950" max="8950" width="7.42578125" style="18" customWidth="1"/>
    <col min="8951" max="8951" width="11" style="18" customWidth="1"/>
    <col min="8952" max="8952" width="8.5703125" style="18" customWidth="1"/>
    <col min="8953" max="8953" width="11" style="18" customWidth="1"/>
    <col min="8954" max="8954" width="8.42578125" style="18" customWidth="1"/>
    <col min="8955" max="8955" width="11.28515625" style="18" customWidth="1"/>
    <col min="8956" max="8956" width="7.140625" style="18" customWidth="1"/>
    <col min="8957" max="8957" width="9.42578125" style="18" customWidth="1"/>
    <col min="8958" max="8958" width="7.140625" style="18" customWidth="1"/>
    <col min="8959" max="8959" width="9.85546875" style="18" customWidth="1"/>
    <col min="8960" max="8960" width="7.85546875" style="18" customWidth="1"/>
    <col min="8961" max="8961" width="11" style="18" customWidth="1"/>
    <col min="8962" max="8962" width="7.85546875" style="18" customWidth="1"/>
    <col min="8963" max="8963" width="10.5703125" style="18" customWidth="1"/>
    <col min="8964" max="8964" width="7.28515625" style="18" customWidth="1"/>
    <col min="8965" max="8965" width="10.140625" style="18" customWidth="1"/>
    <col min="8966" max="8966" width="7.7109375" style="18" customWidth="1"/>
    <col min="8967" max="8967" width="9.85546875" style="18" customWidth="1"/>
    <col min="8968" max="8968" width="8.28515625" style="18" customWidth="1"/>
    <col min="8969" max="8969" width="11.140625" style="18" customWidth="1"/>
    <col min="8970" max="8970" width="7.85546875" style="18" customWidth="1"/>
    <col min="8971" max="8971" width="11.5703125" style="18" customWidth="1"/>
    <col min="8972" max="8973" width="9.140625" style="18"/>
    <col min="8974" max="8974" width="12.28515625" style="18" customWidth="1"/>
    <col min="8975" max="9198" width="9.140625" style="18"/>
    <col min="9199" max="9199" width="38" style="18" customWidth="1"/>
    <col min="9200" max="9200" width="8" style="18" customWidth="1"/>
    <col min="9201" max="9201" width="12.140625" style="18" customWidth="1"/>
    <col min="9202" max="9202" width="8.5703125" style="18" customWidth="1"/>
    <col min="9203" max="9203" width="11.42578125" style="18" customWidth="1"/>
    <col min="9204" max="9204" width="7.140625" style="18" customWidth="1"/>
    <col min="9205" max="9205" width="10.7109375" style="18" customWidth="1"/>
    <col min="9206" max="9206" width="7.42578125" style="18" customWidth="1"/>
    <col min="9207" max="9207" width="11" style="18" customWidth="1"/>
    <col min="9208" max="9208" width="8.5703125" style="18" customWidth="1"/>
    <col min="9209" max="9209" width="11" style="18" customWidth="1"/>
    <col min="9210" max="9210" width="8.42578125" style="18" customWidth="1"/>
    <col min="9211" max="9211" width="11.28515625" style="18" customWidth="1"/>
    <col min="9212" max="9212" width="7.140625" style="18" customWidth="1"/>
    <col min="9213" max="9213" width="9.42578125" style="18" customWidth="1"/>
    <col min="9214" max="9214" width="7.140625" style="18" customWidth="1"/>
    <col min="9215" max="9215" width="9.85546875" style="18" customWidth="1"/>
    <col min="9216" max="9216" width="7.85546875" style="18" customWidth="1"/>
    <col min="9217" max="9217" width="11" style="18" customWidth="1"/>
    <col min="9218" max="9218" width="7.85546875" style="18" customWidth="1"/>
    <col min="9219" max="9219" width="10.5703125" style="18" customWidth="1"/>
    <col min="9220" max="9220" width="7.28515625" style="18" customWidth="1"/>
    <col min="9221" max="9221" width="10.140625" style="18" customWidth="1"/>
    <col min="9222" max="9222" width="7.7109375" style="18" customWidth="1"/>
    <col min="9223" max="9223" width="9.85546875" style="18" customWidth="1"/>
    <col min="9224" max="9224" width="8.28515625" style="18" customWidth="1"/>
    <col min="9225" max="9225" width="11.140625" style="18" customWidth="1"/>
    <col min="9226" max="9226" width="7.85546875" style="18" customWidth="1"/>
    <col min="9227" max="9227" width="11.5703125" style="18" customWidth="1"/>
    <col min="9228" max="9229" width="9.140625" style="18"/>
    <col min="9230" max="9230" width="12.28515625" style="18" customWidth="1"/>
    <col min="9231" max="9454" width="9.140625" style="18"/>
    <col min="9455" max="9455" width="38" style="18" customWidth="1"/>
    <col min="9456" max="9456" width="8" style="18" customWidth="1"/>
    <col min="9457" max="9457" width="12.140625" style="18" customWidth="1"/>
    <col min="9458" max="9458" width="8.5703125" style="18" customWidth="1"/>
    <col min="9459" max="9459" width="11.42578125" style="18" customWidth="1"/>
    <col min="9460" max="9460" width="7.140625" style="18" customWidth="1"/>
    <col min="9461" max="9461" width="10.7109375" style="18" customWidth="1"/>
    <col min="9462" max="9462" width="7.42578125" style="18" customWidth="1"/>
    <col min="9463" max="9463" width="11" style="18" customWidth="1"/>
    <col min="9464" max="9464" width="8.5703125" style="18" customWidth="1"/>
    <col min="9465" max="9465" width="11" style="18" customWidth="1"/>
    <col min="9466" max="9466" width="8.42578125" style="18" customWidth="1"/>
    <col min="9467" max="9467" width="11.28515625" style="18" customWidth="1"/>
    <col min="9468" max="9468" width="7.140625" style="18" customWidth="1"/>
    <col min="9469" max="9469" width="9.42578125" style="18" customWidth="1"/>
    <col min="9470" max="9470" width="7.140625" style="18" customWidth="1"/>
    <col min="9471" max="9471" width="9.85546875" style="18" customWidth="1"/>
    <col min="9472" max="9472" width="7.85546875" style="18" customWidth="1"/>
    <col min="9473" max="9473" width="11" style="18" customWidth="1"/>
    <col min="9474" max="9474" width="7.85546875" style="18" customWidth="1"/>
    <col min="9475" max="9475" width="10.5703125" style="18" customWidth="1"/>
    <col min="9476" max="9476" width="7.28515625" style="18" customWidth="1"/>
    <col min="9477" max="9477" width="10.140625" style="18" customWidth="1"/>
    <col min="9478" max="9478" width="7.7109375" style="18" customWidth="1"/>
    <col min="9479" max="9479" width="9.85546875" style="18" customWidth="1"/>
    <col min="9480" max="9480" width="8.28515625" style="18" customWidth="1"/>
    <col min="9481" max="9481" width="11.140625" style="18" customWidth="1"/>
    <col min="9482" max="9482" width="7.85546875" style="18" customWidth="1"/>
    <col min="9483" max="9483" width="11.5703125" style="18" customWidth="1"/>
    <col min="9484" max="9485" width="9.140625" style="18"/>
    <col min="9486" max="9486" width="12.28515625" style="18" customWidth="1"/>
    <col min="9487" max="9710" width="9.140625" style="18"/>
    <col min="9711" max="9711" width="38" style="18" customWidth="1"/>
    <col min="9712" max="9712" width="8" style="18" customWidth="1"/>
    <col min="9713" max="9713" width="12.140625" style="18" customWidth="1"/>
    <col min="9714" max="9714" width="8.5703125" style="18" customWidth="1"/>
    <col min="9715" max="9715" width="11.42578125" style="18" customWidth="1"/>
    <col min="9716" max="9716" width="7.140625" style="18" customWidth="1"/>
    <col min="9717" max="9717" width="10.7109375" style="18" customWidth="1"/>
    <col min="9718" max="9718" width="7.42578125" style="18" customWidth="1"/>
    <col min="9719" max="9719" width="11" style="18" customWidth="1"/>
    <col min="9720" max="9720" width="8.5703125" style="18" customWidth="1"/>
    <col min="9721" max="9721" width="11" style="18" customWidth="1"/>
    <col min="9722" max="9722" width="8.42578125" style="18" customWidth="1"/>
    <col min="9723" max="9723" width="11.28515625" style="18" customWidth="1"/>
    <col min="9724" max="9724" width="7.140625" style="18" customWidth="1"/>
    <col min="9725" max="9725" width="9.42578125" style="18" customWidth="1"/>
    <col min="9726" max="9726" width="7.140625" style="18" customWidth="1"/>
    <col min="9727" max="9727" width="9.85546875" style="18" customWidth="1"/>
    <col min="9728" max="9728" width="7.85546875" style="18" customWidth="1"/>
    <col min="9729" max="9729" width="11" style="18" customWidth="1"/>
    <col min="9730" max="9730" width="7.85546875" style="18" customWidth="1"/>
    <col min="9731" max="9731" width="10.5703125" style="18" customWidth="1"/>
    <col min="9732" max="9732" width="7.28515625" style="18" customWidth="1"/>
    <col min="9733" max="9733" width="10.140625" style="18" customWidth="1"/>
    <col min="9734" max="9734" width="7.7109375" style="18" customWidth="1"/>
    <col min="9735" max="9735" width="9.85546875" style="18" customWidth="1"/>
    <col min="9736" max="9736" width="8.28515625" style="18" customWidth="1"/>
    <col min="9737" max="9737" width="11.140625" style="18" customWidth="1"/>
    <col min="9738" max="9738" width="7.85546875" style="18" customWidth="1"/>
    <col min="9739" max="9739" width="11.5703125" style="18" customWidth="1"/>
    <col min="9740" max="9741" width="9.140625" style="18"/>
    <col min="9742" max="9742" width="12.28515625" style="18" customWidth="1"/>
    <col min="9743" max="9966" width="9.140625" style="18"/>
    <col min="9967" max="9967" width="38" style="18" customWidth="1"/>
    <col min="9968" max="9968" width="8" style="18" customWidth="1"/>
    <col min="9969" max="9969" width="12.140625" style="18" customWidth="1"/>
    <col min="9970" max="9970" width="8.5703125" style="18" customWidth="1"/>
    <col min="9971" max="9971" width="11.42578125" style="18" customWidth="1"/>
    <col min="9972" max="9972" width="7.140625" style="18" customWidth="1"/>
    <col min="9973" max="9973" width="10.7109375" style="18" customWidth="1"/>
    <col min="9974" max="9974" width="7.42578125" style="18" customWidth="1"/>
    <col min="9975" max="9975" width="11" style="18" customWidth="1"/>
    <col min="9976" max="9976" width="8.5703125" style="18" customWidth="1"/>
    <col min="9977" max="9977" width="11" style="18" customWidth="1"/>
    <col min="9978" max="9978" width="8.42578125" style="18" customWidth="1"/>
    <col min="9979" max="9979" width="11.28515625" style="18" customWidth="1"/>
    <col min="9980" max="9980" width="7.140625" style="18" customWidth="1"/>
    <col min="9981" max="9981" width="9.42578125" style="18" customWidth="1"/>
    <col min="9982" max="9982" width="7.140625" style="18" customWidth="1"/>
    <col min="9983" max="9983" width="9.85546875" style="18" customWidth="1"/>
    <col min="9984" max="9984" width="7.85546875" style="18" customWidth="1"/>
    <col min="9985" max="9985" width="11" style="18" customWidth="1"/>
    <col min="9986" max="9986" width="7.85546875" style="18" customWidth="1"/>
    <col min="9987" max="9987" width="10.5703125" style="18" customWidth="1"/>
    <col min="9988" max="9988" width="7.28515625" style="18" customWidth="1"/>
    <col min="9989" max="9989" width="10.140625" style="18" customWidth="1"/>
    <col min="9990" max="9990" width="7.7109375" style="18" customWidth="1"/>
    <col min="9991" max="9991" width="9.85546875" style="18" customWidth="1"/>
    <col min="9992" max="9992" width="8.28515625" style="18" customWidth="1"/>
    <col min="9993" max="9993" width="11.140625" style="18" customWidth="1"/>
    <col min="9994" max="9994" width="7.85546875" style="18" customWidth="1"/>
    <col min="9995" max="9995" width="11.5703125" style="18" customWidth="1"/>
    <col min="9996" max="9997" width="9.140625" style="18"/>
    <col min="9998" max="9998" width="12.28515625" style="18" customWidth="1"/>
    <col min="9999" max="10222" width="9.140625" style="18"/>
    <col min="10223" max="10223" width="38" style="18" customWidth="1"/>
    <col min="10224" max="10224" width="8" style="18" customWidth="1"/>
    <col min="10225" max="10225" width="12.140625" style="18" customWidth="1"/>
    <col min="10226" max="10226" width="8.5703125" style="18" customWidth="1"/>
    <col min="10227" max="10227" width="11.42578125" style="18" customWidth="1"/>
    <col min="10228" max="10228" width="7.140625" style="18" customWidth="1"/>
    <col min="10229" max="10229" width="10.7109375" style="18" customWidth="1"/>
    <col min="10230" max="10230" width="7.42578125" style="18" customWidth="1"/>
    <col min="10231" max="10231" width="11" style="18" customWidth="1"/>
    <col min="10232" max="10232" width="8.5703125" style="18" customWidth="1"/>
    <col min="10233" max="10233" width="11" style="18" customWidth="1"/>
    <col min="10234" max="10234" width="8.42578125" style="18" customWidth="1"/>
    <col min="10235" max="10235" width="11.28515625" style="18" customWidth="1"/>
    <col min="10236" max="10236" width="7.140625" style="18" customWidth="1"/>
    <col min="10237" max="10237" width="9.42578125" style="18" customWidth="1"/>
    <col min="10238" max="10238" width="7.140625" style="18" customWidth="1"/>
    <col min="10239" max="10239" width="9.85546875" style="18" customWidth="1"/>
    <col min="10240" max="10240" width="7.85546875" style="18" customWidth="1"/>
    <col min="10241" max="10241" width="11" style="18" customWidth="1"/>
    <col min="10242" max="10242" width="7.85546875" style="18" customWidth="1"/>
    <col min="10243" max="10243" width="10.5703125" style="18" customWidth="1"/>
    <col min="10244" max="10244" width="7.28515625" style="18" customWidth="1"/>
    <col min="10245" max="10245" width="10.140625" style="18" customWidth="1"/>
    <col min="10246" max="10246" width="7.7109375" style="18" customWidth="1"/>
    <col min="10247" max="10247" width="9.85546875" style="18" customWidth="1"/>
    <col min="10248" max="10248" width="8.28515625" style="18" customWidth="1"/>
    <col min="10249" max="10249" width="11.140625" style="18" customWidth="1"/>
    <col min="10250" max="10250" width="7.85546875" style="18" customWidth="1"/>
    <col min="10251" max="10251" width="11.5703125" style="18" customWidth="1"/>
    <col min="10252" max="10253" width="9.140625" style="18"/>
    <col min="10254" max="10254" width="12.28515625" style="18" customWidth="1"/>
    <col min="10255" max="10478" width="9.140625" style="18"/>
    <col min="10479" max="10479" width="38" style="18" customWidth="1"/>
    <col min="10480" max="10480" width="8" style="18" customWidth="1"/>
    <col min="10481" max="10481" width="12.140625" style="18" customWidth="1"/>
    <col min="10482" max="10482" width="8.5703125" style="18" customWidth="1"/>
    <col min="10483" max="10483" width="11.42578125" style="18" customWidth="1"/>
    <col min="10484" max="10484" width="7.140625" style="18" customWidth="1"/>
    <col min="10485" max="10485" width="10.7109375" style="18" customWidth="1"/>
    <col min="10486" max="10486" width="7.42578125" style="18" customWidth="1"/>
    <col min="10487" max="10487" width="11" style="18" customWidth="1"/>
    <col min="10488" max="10488" width="8.5703125" style="18" customWidth="1"/>
    <col min="10489" max="10489" width="11" style="18" customWidth="1"/>
    <col min="10490" max="10490" width="8.42578125" style="18" customWidth="1"/>
    <col min="10491" max="10491" width="11.28515625" style="18" customWidth="1"/>
    <col min="10492" max="10492" width="7.140625" style="18" customWidth="1"/>
    <col min="10493" max="10493" width="9.42578125" style="18" customWidth="1"/>
    <col min="10494" max="10494" width="7.140625" style="18" customWidth="1"/>
    <col min="10495" max="10495" width="9.85546875" style="18" customWidth="1"/>
    <col min="10496" max="10496" width="7.85546875" style="18" customWidth="1"/>
    <col min="10497" max="10497" width="11" style="18" customWidth="1"/>
    <col min="10498" max="10498" width="7.85546875" style="18" customWidth="1"/>
    <col min="10499" max="10499" width="10.5703125" style="18" customWidth="1"/>
    <col min="10500" max="10500" width="7.28515625" style="18" customWidth="1"/>
    <col min="10501" max="10501" width="10.140625" style="18" customWidth="1"/>
    <col min="10502" max="10502" width="7.7109375" style="18" customWidth="1"/>
    <col min="10503" max="10503" width="9.85546875" style="18" customWidth="1"/>
    <col min="10504" max="10504" width="8.28515625" style="18" customWidth="1"/>
    <col min="10505" max="10505" width="11.140625" style="18" customWidth="1"/>
    <col min="10506" max="10506" width="7.85546875" style="18" customWidth="1"/>
    <col min="10507" max="10507" width="11.5703125" style="18" customWidth="1"/>
    <col min="10508" max="10509" width="9.140625" style="18"/>
    <col min="10510" max="10510" width="12.28515625" style="18" customWidth="1"/>
    <col min="10511" max="10734" width="9.140625" style="18"/>
    <col min="10735" max="10735" width="38" style="18" customWidth="1"/>
    <col min="10736" max="10736" width="8" style="18" customWidth="1"/>
    <col min="10737" max="10737" width="12.140625" style="18" customWidth="1"/>
    <col min="10738" max="10738" width="8.5703125" style="18" customWidth="1"/>
    <col min="10739" max="10739" width="11.42578125" style="18" customWidth="1"/>
    <col min="10740" max="10740" width="7.140625" style="18" customWidth="1"/>
    <col min="10741" max="10741" width="10.7109375" style="18" customWidth="1"/>
    <col min="10742" max="10742" width="7.42578125" style="18" customWidth="1"/>
    <col min="10743" max="10743" width="11" style="18" customWidth="1"/>
    <col min="10744" max="10744" width="8.5703125" style="18" customWidth="1"/>
    <col min="10745" max="10745" width="11" style="18" customWidth="1"/>
    <col min="10746" max="10746" width="8.42578125" style="18" customWidth="1"/>
    <col min="10747" max="10747" width="11.28515625" style="18" customWidth="1"/>
    <col min="10748" max="10748" width="7.140625" style="18" customWidth="1"/>
    <col min="10749" max="10749" width="9.42578125" style="18" customWidth="1"/>
    <col min="10750" max="10750" width="7.140625" style="18" customWidth="1"/>
    <col min="10751" max="10751" width="9.85546875" style="18" customWidth="1"/>
    <col min="10752" max="10752" width="7.85546875" style="18" customWidth="1"/>
    <col min="10753" max="10753" width="11" style="18" customWidth="1"/>
    <col min="10754" max="10754" width="7.85546875" style="18" customWidth="1"/>
    <col min="10755" max="10755" width="10.5703125" style="18" customWidth="1"/>
    <col min="10756" max="10756" width="7.28515625" style="18" customWidth="1"/>
    <col min="10757" max="10757" width="10.140625" style="18" customWidth="1"/>
    <col min="10758" max="10758" width="7.7109375" style="18" customWidth="1"/>
    <col min="10759" max="10759" width="9.85546875" style="18" customWidth="1"/>
    <col min="10760" max="10760" width="8.28515625" style="18" customWidth="1"/>
    <col min="10761" max="10761" width="11.140625" style="18" customWidth="1"/>
    <col min="10762" max="10762" width="7.85546875" style="18" customWidth="1"/>
    <col min="10763" max="10763" width="11.5703125" style="18" customWidth="1"/>
    <col min="10764" max="10765" width="9.140625" style="18"/>
    <col min="10766" max="10766" width="12.28515625" style="18" customWidth="1"/>
    <col min="10767" max="10990" width="9.140625" style="18"/>
    <col min="10991" max="10991" width="38" style="18" customWidth="1"/>
    <col min="10992" max="10992" width="8" style="18" customWidth="1"/>
    <col min="10993" max="10993" width="12.140625" style="18" customWidth="1"/>
    <col min="10994" max="10994" width="8.5703125" style="18" customWidth="1"/>
    <col min="10995" max="10995" width="11.42578125" style="18" customWidth="1"/>
    <col min="10996" max="10996" width="7.140625" style="18" customWidth="1"/>
    <col min="10997" max="10997" width="10.7109375" style="18" customWidth="1"/>
    <col min="10998" max="10998" width="7.42578125" style="18" customWidth="1"/>
    <col min="10999" max="10999" width="11" style="18" customWidth="1"/>
    <col min="11000" max="11000" width="8.5703125" style="18" customWidth="1"/>
    <col min="11001" max="11001" width="11" style="18" customWidth="1"/>
    <col min="11002" max="11002" width="8.42578125" style="18" customWidth="1"/>
    <col min="11003" max="11003" width="11.28515625" style="18" customWidth="1"/>
    <col min="11004" max="11004" width="7.140625" style="18" customWidth="1"/>
    <col min="11005" max="11005" width="9.42578125" style="18" customWidth="1"/>
    <col min="11006" max="11006" width="7.140625" style="18" customWidth="1"/>
    <col min="11007" max="11007" width="9.85546875" style="18" customWidth="1"/>
    <col min="11008" max="11008" width="7.85546875" style="18" customWidth="1"/>
    <col min="11009" max="11009" width="11" style="18" customWidth="1"/>
    <col min="11010" max="11010" width="7.85546875" style="18" customWidth="1"/>
    <col min="11011" max="11011" width="10.5703125" style="18" customWidth="1"/>
    <col min="11012" max="11012" width="7.28515625" style="18" customWidth="1"/>
    <col min="11013" max="11013" width="10.140625" style="18" customWidth="1"/>
    <col min="11014" max="11014" width="7.7109375" style="18" customWidth="1"/>
    <col min="11015" max="11015" width="9.85546875" style="18" customWidth="1"/>
    <col min="11016" max="11016" width="8.28515625" style="18" customWidth="1"/>
    <col min="11017" max="11017" width="11.140625" style="18" customWidth="1"/>
    <col min="11018" max="11018" width="7.85546875" style="18" customWidth="1"/>
    <col min="11019" max="11019" width="11.5703125" style="18" customWidth="1"/>
    <col min="11020" max="11021" width="9.140625" style="18"/>
    <col min="11022" max="11022" width="12.28515625" style="18" customWidth="1"/>
    <col min="11023" max="11246" width="9.140625" style="18"/>
    <col min="11247" max="11247" width="38" style="18" customWidth="1"/>
    <col min="11248" max="11248" width="8" style="18" customWidth="1"/>
    <col min="11249" max="11249" width="12.140625" style="18" customWidth="1"/>
    <col min="11250" max="11250" width="8.5703125" style="18" customWidth="1"/>
    <col min="11251" max="11251" width="11.42578125" style="18" customWidth="1"/>
    <col min="11252" max="11252" width="7.140625" style="18" customWidth="1"/>
    <col min="11253" max="11253" width="10.7109375" style="18" customWidth="1"/>
    <col min="11254" max="11254" width="7.42578125" style="18" customWidth="1"/>
    <col min="11255" max="11255" width="11" style="18" customWidth="1"/>
    <col min="11256" max="11256" width="8.5703125" style="18" customWidth="1"/>
    <col min="11257" max="11257" width="11" style="18" customWidth="1"/>
    <col min="11258" max="11258" width="8.42578125" style="18" customWidth="1"/>
    <col min="11259" max="11259" width="11.28515625" style="18" customWidth="1"/>
    <col min="11260" max="11260" width="7.140625" style="18" customWidth="1"/>
    <col min="11261" max="11261" width="9.42578125" style="18" customWidth="1"/>
    <col min="11262" max="11262" width="7.140625" style="18" customWidth="1"/>
    <col min="11263" max="11263" width="9.85546875" style="18" customWidth="1"/>
    <col min="11264" max="11264" width="7.85546875" style="18" customWidth="1"/>
    <col min="11265" max="11265" width="11" style="18" customWidth="1"/>
    <col min="11266" max="11266" width="7.85546875" style="18" customWidth="1"/>
    <col min="11267" max="11267" width="10.5703125" style="18" customWidth="1"/>
    <col min="11268" max="11268" width="7.28515625" style="18" customWidth="1"/>
    <col min="11269" max="11269" width="10.140625" style="18" customWidth="1"/>
    <col min="11270" max="11270" width="7.7109375" style="18" customWidth="1"/>
    <col min="11271" max="11271" width="9.85546875" style="18" customWidth="1"/>
    <col min="11272" max="11272" width="8.28515625" style="18" customWidth="1"/>
    <col min="11273" max="11273" width="11.140625" style="18" customWidth="1"/>
    <col min="11274" max="11274" width="7.85546875" style="18" customWidth="1"/>
    <col min="11275" max="11275" width="11.5703125" style="18" customWidth="1"/>
    <col min="11276" max="11277" width="9.140625" style="18"/>
    <col min="11278" max="11278" width="12.28515625" style="18" customWidth="1"/>
    <col min="11279" max="11502" width="9.140625" style="18"/>
    <col min="11503" max="11503" width="38" style="18" customWidth="1"/>
    <col min="11504" max="11504" width="8" style="18" customWidth="1"/>
    <col min="11505" max="11505" width="12.140625" style="18" customWidth="1"/>
    <col min="11506" max="11506" width="8.5703125" style="18" customWidth="1"/>
    <col min="11507" max="11507" width="11.42578125" style="18" customWidth="1"/>
    <col min="11508" max="11508" width="7.140625" style="18" customWidth="1"/>
    <col min="11509" max="11509" width="10.7109375" style="18" customWidth="1"/>
    <col min="11510" max="11510" width="7.42578125" style="18" customWidth="1"/>
    <col min="11511" max="11511" width="11" style="18" customWidth="1"/>
    <col min="11512" max="11512" width="8.5703125" style="18" customWidth="1"/>
    <col min="11513" max="11513" width="11" style="18" customWidth="1"/>
    <col min="11514" max="11514" width="8.42578125" style="18" customWidth="1"/>
    <col min="11515" max="11515" width="11.28515625" style="18" customWidth="1"/>
    <col min="11516" max="11516" width="7.140625" style="18" customWidth="1"/>
    <col min="11517" max="11517" width="9.42578125" style="18" customWidth="1"/>
    <col min="11518" max="11518" width="7.140625" style="18" customWidth="1"/>
    <col min="11519" max="11519" width="9.85546875" style="18" customWidth="1"/>
    <col min="11520" max="11520" width="7.85546875" style="18" customWidth="1"/>
    <col min="11521" max="11521" width="11" style="18" customWidth="1"/>
    <col min="11522" max="11522" width="7.85546875" style="18" customWidth="1"/>
    <col min="11523" max="11523" width="10.5703125" style="18" customWidth="1"/>
    <col min="11524" max="11524" width="7.28515625" style="18" customWidth="1"/>
    <col min="11525" max="11525" width="10.140625" style="18" customWidth="1"/>
    <col min="11526" max="11526" width="7.7109375" style="18" customWidth="1"/>
    <col min="11527" max="11527" width="9.85546875" style="18" customWidth="1"/>
    <col min="11528" max="11528" width="8.28515625" style="18" customWidth="1"/>
    <col min="11529" max="11529" width="11.140625" style="18" customWidth="1"/>
    <col min="11530" max="11530" width="7.85546875" style="18" customWidth="1"/>
    <col min="11531" max="11531" width="11.5703125" style="18" customWidth="1"/>
    <col min="11532" max="11533" width="9.140625" style="18"/>
    <col min="11534" max="11534" width="12.28515625" style="18" customWidth="1"/>
    <col min="11535" max="11758" width="9.140625" style="18"/>
    <col min="11759" max="11759" width="38" style="18" customWidth="1"/>
    <col min="11760" max="11760" width="8" style="18" customWidth="1"/>
    <col min="11761" max="11761" width="12.140625" style="18" customWidth="1"/>
    <col min="11762" max="11762" width="8.5703125" style="18" customWidth="1"/>
    <col min="11763" max="11763" width="11.42578125" style="18" customWidth="1"/>
    <col min="11764" max="11764" width="7.140625" style="18" customWidth="1"/>
    <col min="11765" max="11765" width="10.7109375" style="18" customWidth="1"/>
    <col min="11766" max="11766" width="7.42578125" style="18" customWidth="1"/>
    <col min="11767" max="11767" width="11" style="18" customWidth="1"/>
    <col min="11768" max="11768" width="8.5703125" style="18" customWidth="1"/>
    <col min="11769" max="11769" width="11" style="18" customWidth="1"/>
    <col min="11770" max="11770" width="8.42578125" style="18" customWidth="1"/>
    <col min="11771" max="11771" width="11.28515625" style="18" customWidth="1"/>
    <col min="11772" max="11772" width="7.140625" style="18" customWidth="1"/>
    <col min="11773" max="11773" width="9.42578125" style="18" customWidth="1"/>
    <col min="11774" max="11774" width="7.140625" style="18" customWidth="1"/>
    <col min="11775" max="11775" width="9.85546875" style="18" customWidth="1"/>
    <col min="11776" max="11776" width="7.85546875" style="18" customWidth="1"/>
    <col min="11777" max="11777" width="11" style="18" customWidth="1"/>
    <col min="11778" max="11778" width="7.85546875" style="18" customWidth="1"/>
    <col min="11779" max="11779" width="10.5703125" style="18" customWidth="1"/>
    <col min="11780" max="11780" width="7.28515625" style="18" customWidth="1"/>
    <col min="11781" max="11781" width="10.140625" style="18" customWidth="1"/>
    <col min="11782" max="11782" width="7.7109375" style="18" customWidth="1"/>
    <col min="11783" max="11783" width="9.85546875" style="18" customWidth="1"/>
    <col min="11784" max="11784" width="8.28515625" style="18" customWidth="1"/>
    <col min="11785" max="11785" width="11.140625" style="18" customWidth="1"/>
    <col min="11786" max="11786" width="7.85546875" style="18" customWidth="1"/>
    <col min="11787" max="11787" width="11.5703125" style="18" customWidth="1"/>
    <col min="11788" max="11789" width="9.140625" style="18"/>
    <col min="11790" max="11790" width="12.28515625" style="18" customWidth="1"/>
    <col min="11791" max="12014" width="9.140625" style="18"/>
    <col min="12015" max="12015" width="38" style="18" customWidth="1"/>
    <col min="12016" max="12016" width="8" style="18" customWidth="1"/>
    <col min="12017" max="12017" width="12.140625" style="18" customWidth="1"/>
    <col min="12018" max="12018" width="8.5703125" style="18" customWidth="1"/>
    <col min="12019" max="12019" width="11.42578125" style="18" customWidth="1"/>
    <col min="12020" max="12020" width="7.140625" style="18" customWidth="1"/>
    <col min="12021" max="12021" width="10.7109375" style="18" customWidth="1"/>
    <col min="12022" max="12022" width="7.42578125" style="18" customWidth="1"/>
    <col min="12023" max="12023" width="11" style="18" customWidth="1"/>
    <col min="12024" max="12024" width="8.5703125" style="18" customWidth="1"/>
    <col min="12025" max="12025" width="11" style="18" customWidth="1"/>
    <col min="12026" max="12026" width="8.42578125" style="18" customWidth="1"/>
    <col min="12027" max="12027" width="11.28515625" style="18" customWidth="1"/>
    <col min="12028" max="12028" width="7.140625" style="18" customWidth="1"/>
    <col min="12029" max="12029" width="9.42578125" style="18" customWidth="1"/>
    <col min="12030" max="12030" width="7.140625" style="18" customWidth="1"/>
    <col min="12031" max="12031" width="9.85546875" style="18" customWidth="1"/>
    <col min="12032" max="12032" width="7.85546875" style="18" customWidth="1"/>
    <col min="12033" max="12033" width="11" style="18" customWidth="1"/>
    <col min="12034" max="12034" width="7.85546875" style="18" customWidth="1"/>
    <col min="12035" max="12035" width="10.5703125" style="18" customWidth="1"/>
    <col min="12036" max="12036" width="7.28515625" style="18" customWidth="1"/>
    <col min="12037" max="12037" width="10.140625" style="18" customWidth="1"/>
    <col min="12038" max="12038" width="7.7109375" style="18" customWidth="1"/>
    <col min="12039" max="12039" width="9.85546875" style="18" customWidth="1"/>
    <col min="12040" max="12040" width="8.28515625" style="18" customWidth="1"/>
    <col min="12041" max="12041" width="11.140625" style="18" customWidth="1"/>
    <col min="12042" max="12042" width="7.85546875" style="18" customWidth="1"/>
    <col min="12043" max="12043" width="11.5703125" style="18" customWidth="1"/>
    <col min="12044" max="12045" width="9.140625" style="18"/>
    <col min="12046" max="12046" width="12.28515625" style="18" customWidth="1"/>
    <col min="12047" max="12270" width="9.140625" style="18"/>
    <col min="12271" max="12271" width="38" style="18" customWidth="1"/>
    <col min="12272" max="12272" width="8" style="18" customWidth="1"/>
    <col min="12273" max="12273" width="12.140625" style="18" customWidth="1"/>
    <col min="12274" max="12274" width="8.5703125" style="18" customWidth="1"/>
    <col min="12275" max="12275" width="11.42578125" style="18" customWidth="1"/>
    <col min="12276" max="12276" width="7.140625" style="18" customWidth="1"/>
    <col min="12277" max="12277" width="10.7109375" style="18" customWidth="1"/>
    <col min="12278" max="12278" width="7.42578125" style="18" customWidth="1"/>
    <col min="12279" max="12279" width="11" style="18" customWidth="1"/>
    <col min="12280" max="12280" width="8.5703125" style="18" customWidth="1"/>
    <col min="12281" max="12281" width="11" style="18" customWidth="1"/>
    <col min="12282" max="12282" width="8.42578125" style="18" customWidth="1"/>
    <col min="12283" max="12283" width="11.28515625" style="18" customWidth="1"/>
    <col min="12284" max="12284" width="7.140625" style="18" customWidth="1"/>
    <col min="12285" max="12285" width="9.42578125" style="18" customWidth="1"/>
    <col min="12286" max="12286" width="7.140625" style="18" customWidth="1"/>
    <col min="12287" max="12287" width="9.85546875" style="18" customWidth="1"/>
    <col min="12288" max="12288" width="7.85546875" style="18" customWidth="1"/>
    <col min="12289" max="12289" width="11" style="18" customWidth="1"/>
    <col min="12290" max="12290" width="7.85546875" style="18" customWidth="1"/>
    <col min="12291" max="12291" width="10.5703125" style="18" customWidth="1"/>
    <col min="12292" max="12292" width="7.28515625" style="18" customWidth="1"/>
    <col min="12293" max="12293" width="10.140625" style="18" customWidth="1"/>
    <col min="12294" max="12294" width="7.7109375" style="18" customWidth="1"/>
    <col min="12295" max="12295" width="9.85546875" style="18" customWidth="1"/>
    <col min="12296" max="12296" width="8.28515625" style="18" customWidth="1"/>
    <col min="12297" max="12297" width="11.140625" style="18" customWidth="1"/>
    <col min="12298" max="12298" width="7.85546875" style="18" customWidth="1"/>
    <col min="12299" max="12299" width="11.5703125" style="18" customWidth="1"/>
    <col min="12300" max="12301" width="9.140625" style="18"/>
    <col min="12302" max="12302" width="12.28515625" style="18" customWidth="1"/>
    <col min="12303" max="12526" width="9.140625" style="18"/>
    <col min="12527" max="12527" width="38" style="18" customWidth="1"/>
    <col min="12528" max="12528" width="8" style="18" customWidth="1"/>
    <col min="12529" max="12529" width="12.140625" style="18" customWidth="1"/>
    <col min="12530" max="12530" width="8.5703125" style="18" customWidth="1"/>
    <col min="12531" max="12531" width="11.42578125" style="18" customWidth="1"/>
    <col min="12532" max="12532" width="7.140625" style="18" customWidth="1"/>
    <col min="12533" max="12533" width="10.7109375" style="18" customWidth="1"/>
    <col min="12534" max="12534" width="7.42578125" style="18" customWidth="1"/>
    <col min="12535" max="12535" width="11" style="18" customWidth="1"/>
    <col min="12536" max="12536" width="8.5703125" style="18" customWidth="1"/>
    <col min="12537" max="12537" width="11" style="18" customWidth="1"/>
    <col min="12538" max="12538" width="8.42578125" style="18" customWidth="1"/>
    <col min="12539" max="12539" width="11.28515625" style="18" customWidth="1"/>
    <col min="12540" max="12540" width="7.140625" style="18" customWidth="1"/>
    <col min="12541" max="12541" width="9.42578125" style="18" customWidth="1"/>
    <col min="12542" max="12542" width="7.140625" style="18" customWidth="1"/>
    <col min="12543" max="12543" width="9.85546875" style="18" customWidth="1"/>
    <col min="12544" max="12544" width="7.85546875" style="18" customWidth="1"/>
    <col min="12545" max="12545" width="11" style="18" customWidth="1"/>
    <col min="12546" max="12546" width="7.85546875" style="18" customWidth="1"/>
    <col min="12547" max="12547" width="10.5703125" style="18" customWidth="1"/>
    <col min="12548" max="12548" width="7.28515625" style="18" customWidth="1"/>
    <col min="12549" max="12549" width="10.140625" style="18" customWidth="1"/>
    <col min="12550" max="12550" width="7.7109375" style="18" customWidth="1"/>
    <col min="12551" max="12551" width="9.85546875" style="18" customWidth="1"/>
    <col min="12552" max="12552" width="8.28515625" style="18" customWidth="1"/>
    <col min="12553" max="12553" width="11.140625" style="18" customWidth="1"/>
    <col min="12554" max="12554" width="7.85546875" style="18" customWidth="1"/>
    <col min="12555" max="12555" width="11.5703125" style="18" customWidth="1"/>
    <col min="12556" max="12557" width="9.140625" style="18"/>
    <col min="12558" max="12558" width="12.28515625" style="18" customWidth="1"/>
    <col min="12559" max="12782" width="9.140625" style="18"/>
    <col min="12783" max="12783" width="38" style="18" customWidth="1"/>
    <col min="12784" max="12784" width="8" style="18" customWidth="1"/>
    <col min="12785" max="12785" width="12.140625" style="18" customWidth="1"/>
    <col min="12786" max="12786" width="8.5703125" style="18" customWidth="1"/>
    <col min="12787" max="12787" width="11.42578125" style="18" customWidth="1"/>
    <col min="12788" max="12788" width="7.140625" style="18" customWidth="1"/>
    <col min="12789" max="12789" width="10.7109375" style="18" customWidth="1"/>
    <col min="12790" max="12790" width="7.42578125" style="18" customWidth="1"/>
    <col min="12791" max="12791" width="11" style="18" customWidth="1"/>
    <col min="12792" max="12792" width="8.5703125" style="18" customWidth="1"/>
    <col min="12793" max="12793" width="11" style="18" customWidth="1"/>
    <col min="12794" max="12794" width="8.42578125" style="18" customWidth="1"/>
    <col min="12795" max="12795" width="11.28515625" style="18" customWidth="1"/>
    <col min="12796" max="12796" width="7.140625" style="18" customWidth="1"/>
    <col min="12797" max="12797" width="9.42578125" style="18" customWidth="1"/>
    <col min="12798" max="12798" width="7.140625" style="18" customWidth="1"/>
    <col min="12799" max="12799" width="9.85546875" style="18" customWidth="1"/>
    <col min="12800" max="12800" width="7.85546875" style="18" customWidth="1"/>
    <col min="12801" max="12801" width="11" style="18" customWidth="1"/>
    <col min="12802" max="12802" width="7.85546875" style="18" customWidth="1"/>
    <col min="12803" max="12803" width="10.5703125" style="18" customWidth="1"/>
    <col min="12804" max="12804" width="7.28515625" style="18" customWidth="1"/>
    <col min="12805" max="12805" width="10.140625" style="18" customWidth="1"/>
    <col min="12806" max="12806" width="7.7109375" style="18" customWidth="1"/>
    <col min="12807" max="12807" width="9.85546875" style="18" customWidth="1"/>
    <col min="12808" max="12808" width="8.28515625" style="18" customWidth="1"/>
    <col min="12809" max="12809" width="11.140625" style="18" customWidth="1"/>
    <col min="12810" max="12810" width="7.85546875" style="18" customWidth="1"/>
    <col min="12811" max="12811" width="11.5703125" style="18" customWidth="1"/>
    <col min="12812" max="12813" width="9.140625" style="18"/>
    <col min="12814" max="12814" width="12.28515625" style="18" customWidth="1"/>
    <col min="12815" max="13038" width="9.140625" style="18"/>
    <col min="13039" max="13039" width="38" style="18" customWidth="1"/>
    <col min="13040" max="13040" width="8" style="18" customWidth="1"/>
    <col min="13041" max="13041" width="12.140625" style="18" customWidth="1"/>
    <col min="13042" max="13042" width="8.5703125" style="18" customWidth="1"/>
    <col min="13043" max="13043" width="11.42578125" style="18" customWidth="1"/>
    <col min="13044" max="13044" width="7.140625" style="18" customWidth="1"/>
    <col min="13045" max="13045" width="10.7109375" style="18" customWidth="1"/>
    <col min="13046" max="13046" width="7.42578125" style="18" customWidth="1"/>
    <col min="13047" max="13047" width="11" style="18" customWidth="1"/>
    <col min="13048" max="13048" width="8.5703125" style="18" customWidth="1"/>
    <col min="13049" max="13049" width="11" style="18" customWidth="1"/>
    <col min="13050" max="13050" width="8.42578125" style="18" customWidth="1"/>
    <col min="13051" max="13051" width="11.28515625" style="18" customWidth="1"/>
    <col min="13052" max="13052" width="7.140625" style="18" customWidth="1"/>
    <col min="13053" max="13053" width="9.42578125" style="18" customWidth="1"/>
    <col min="13054" max="13054" width="7.140625" style="18" customWidth="1"/>
    <col min="13055" max="13055" width="9.85546875" style="18" customWidth="1"/>
    <col min="13056" max="13056" width="7.85546875" style="18" customWidth="1"/>
    <col min="13057" max="13057" width="11" style="18" customWidth="1"/>
    <col min="13058" max="13058" width="7.85546875" style="18" customWidth="1"/>
    <col min="13059" max="13059" width="10.5703125" style="18" customWidth="1"/>
    <col min="13060" max="13060" width="7.28515625" style="18" customWidth="1"/>
    <col min="13061" max="13061" width="10.140625" style="18" customWidth="1"/>
    <col min="13062" max="13062" width="7.7109375" style="18" customWidth="1"/>
    <col min="13063" max="13063" width="9.85546875" style="18" customWidth="1"/>
    <col min="13064" max="13064" width="8.28515625" style="18" customWidth="1"/>
    <col min="13065" max="13065" width="11.140625" style="18" customWidth="1"/>
    <col min="13066" max="13066" width="7.85546875" style="18" customWidth="1"/>
    <col min="13067" max="13067" width="11.5703125" style="18" customWidth="1"/>
    <col min="13068" max="13069" width="9.140625" style="18"/>
    <col min="13070" max="13070" width="12.28515625" style="18" customWidth="1"/>
    <col min="13071" max="13294" width="9.140625" style="18"/>
    <col min="13295" max="13295" width="38" style="18" customWidth="1"/>
    <col min="13296" max="13296" width="8" style="18" customWidth="1"/>
    <col min="13297" max="13297" width="12.140625" style="18" customWidth="1"/>
    <col min="13298" max="13298" width="8.5703125" style="18" customWidth="1"/>
    <col min="13299" max="13299" width="11.42578125" style="18" customWidth="1"/>
    <col min="13300" max="13300" width="7.140625" style="18" customWidth="1"/>
    <col min="13301" max="13301" width="10.7109375" style="18" customWidth="1"/>
    <col min="13302" max="13302" width="7.42578125" style="18" customWidth="1"/>
    <col min="13303" max="13303" width="11" style="18" customWidth="1"/>
    <col min="13304" max="13304" width="8.5703125" style="18" customWidth="1"/>
    <col min="13305" max="13305" width="11" style="18" customWidth="1"/>
    <col min="13306" max="13306" width="8.42578125" style="18" customWidth="1"/>
    <col min="13307" max="13307" width="11.28515625" style="18" customWidth="1"/>
    <col min="13308" max="13308" width="7.140625" style="18" customWidth="1"/>
    <col min="13309" max="13309" width="9.42578125" style="18" customWidth="1"/>
    <col min="13310" max="13310" width="7.140625" style="18" customWidth="1"/>
    <col min="13311" max="13311" width="9.85546875" style="18" customWidth="1"/>
    <col min="13312" max="13312" width="7.85546875" style="18" customWidth="1"/>
    <col min="13313" max="13313" width="11" style="18" customWidth="1"/>
    <col min="13314" max="13314" width="7.85546875" style="18" customWidth="1"/>
    <col min="13315" max="13315" width="10.5703125" style="18" customWidth="1"/>
    <col min="13316" max="13316" width="7.28515625" style="18" customWidth="1"/>
    <col min="13317" max="13317" width="10.140625" style="18" customWidth="1"/>
    <col min="13318" max="13318" width="7.7109375" style="18" customWidth="1"/>
    <col min="13319" max="13319" width="9.85546875" style="18" customWidth="1"/>
    <col min="13320" max="13320" width="8.28515625" style="18" customWidth="1"/>
    <col min="13321" max="13321" width="11.140625" style="18" customWidth="1"/>
    <col min="13322" max="13322" width="7.85546875" style="18" customWidth="1"/>
    <col min="13323" max="13323" width="11.5703125" style="18" customWidth="1"/>
    <col min="13324" max="13325" width="9.140625" style="18"/>
    <col min="13326" max="13326" width="12.28515625" style="18" customWidth="1"/>
    <col min="13327" max="13550" width="9.140625" style="18"/>
    <col min="13551" max="13551" width="38" style="18" customWidth="1"/>
    <col min="13552" max="13552" width="8" style="18" customWidth="1"/>
    <col min="13553" max="13553" width="12.140625" style="18" customWidth="1"/>
    <col min="13554" max="13554" width="8.5703125" style="18" customWidth="1"/>
    <col min="13555" max="13555" width="11.42578125" style="18" customWidth="1"/>
    <col min="13556" max="13556" width="7.140625" style="18" customWidth="1"/>
    <col min="13557" max="13557" width="10.7109375" style="18" customWidth="1"/>
    <col min="13558" max="13558" width="7.42578125" style="18" customWidth="1"/>
    <col min="13559" max="13559" width="11" style="18" customWidth="1"/>
    <col min="13560" max="13560" width="8.5703125" style="18" customWidth="1"/>
    <col min="13561" max="13561" width="11" style="18" customWidth="1"/>
    <col min="13562" max="13562" width="8.42578125" style="18" customWidth="1"/>
    <col min="13563" max="13563" width="11.28515625" style="18" customWidth="1"/>
    <col min="13564" max="13564" width="7.140625" style="18" customWidth="1"/>
    <col min="13565" max="13565" width="9.42578125" style="18" customWidth="1"/>
    <col min="13566" max="13566" width="7.140625" style="18" customWidth="1"/>
    <col min="13567" max="13567" width="9.85546875" style="18" customWidth="1"/>
    <col min="13568" max="13568" width="7.85546875" style="18" customWidth="1"/>
    <col min="13569" max="13569" width="11" style="18" customWidth="1"/>
    <col min="13570" max="13570" width="7.85546875" style="18" customWidth="1"/>
    <col min="13571" max="13571" width="10.5703125" style="18" customWidth="1"/>
    <col min="13572" max="13572" width="7.28515625" style="18" customWidth="1"/>
    <col min="13573" max="13573" width="10.140625" style="18" customWidth="1"/>
    <col min="13574" max="13574" width="7.7109375" style="18" customWidth="1"/>
    <col min="13575" max="13575" width="9.85546875" style="18" customWidth="1"/>
    <col min="13576" max="13576" width="8.28515625" style="18" customWidth="1"/>
    <col min="13577" max="13577" width="11.140625" style="18" customWidth="1"/>
    <col min="13578" max="13578" width="7.85546875" style="18" customWidth="1"/>
    <col min="13579" max="13579" width="11.5703125" style="18" customWidth="1"/>
    <col min="13580" max="13581" width="9.140625" style="18"/>
    <col min="13582" max="13582" width="12.28515625" style="18" customWidth="1"/>
    <col min="13583" max="13806" width="9.140625" style="18"/>
    <col min="13807" max="13807" width="38" style="18" customWidth="1"/>
    <col min="13808" max="13808" width="8" style="18" customWidth="1"/>
    <col min="13809" max="13809" width="12.140625" style="18" customWidth="1"/>
    <col min="13810" max="13810" width="8.5703125" style="18" customWidth="1"/>
    <col min="13811" max="13811" width="11.42578125" style="18" customWidth="1"/>
    <col min="13812" max="13812" width="7.140625" style="18" customWidth="1"/>
    <col min="13813" max="13813" width="10.7109375" style="18" customWidth="1"/>
    <col min="13814" max="13814" width="7.42578125" style="18" customWidth="1"/>
    <col min="13815" max="13815" width="11" style="18" customWidth="1"/>
    <col min="13816" max="13816" width="8.5703125" style="18" customWidth="1"/>
    <col min="13817" max="13817" width="11" style="18" customWidth="1"/>
    <col min="13818" max="13818" width="8.42578125" style="18" customWidth="1"/>
    <col min="13819" max="13819" width="11.28515625" style="18" customWidth="1"/>
    <col min="13820" max="13820" width="7.140625" style="18" customWidth="1"/>
    <col min="13821" max="13821" width="9.42578125" style="18" customWidth="1"/>
    <col min="13822" max="13822" width="7.140625" style="18" customWidth="1"/>
    <col min="13823" max="13823" width="9.85546875" style="18" customWidth="1"/>
    <col min="13824" max="13824" width="7.85546875" style="18" customWidth="1"/>
    <col min="13825" max="13825" width="11" style="18" customWidth="1"/>
    <col min="13826" max="13826" width="7.85546875" style="18" customWidth="1"/>
    <col min="13827" max="13827" width="10.5703125" style="18" customWidth="1"/>
    <col min="13828" max="13828" width="7.28515625" style="18" customWidth="1"/>
    <col min="13829" max="13829" width="10.140625" style="18" customWidth="1"/>
    <col min="13830" max="13830" width="7.7109375" style="18" customWidth="1"/>
    <col min="13831" max="13831" width="9.85546875" style="18" customWidth="1"/>
    <col min="13832" max="13832" width="8.28515625" style="18" customWidth="1"/>
    <col min="13833" max="13833" width="11.140625" style="18" customWidth="1"/>
    <col min="13834" max="13834" width="7.85546875" style="18" customWidth="1"/>
    <col min="13835" max="13835" width="11.5703125" style="18" customWidth="1"/>
    <col min="13836" max="13837" width="9.140625" style="18"/>
    <col min="13838" max="13838" width="12.28515625" style="18" customWidth="1"/>
    <col min="13839" max="14062" width="9.140625" style="18"/>
    <col min="14063" max="14063" width="38" style="18" customWidth="1"/>
    <col min="14064" max="14064" width="8" style="18" customWidth="1"/>
    <col min="14065" max="14065" width="12.140625" style="18" customWidth="1"/>
    <col min="14066" max="14066" width="8.5703125" style="18" customWidth="1"/>
    <col min="14067" max="14067" width="11.42578125" style="18" customWidth="1"/>
    <col min="14068" max="14068" width="7.140625" style="18" customWidth="1"/>
    <col min="14069" max="14069" width="10.7109375" style="18" customWidth="1"/>
    <col min="14070" max="14070" width="7.42578125" style="18" customWidth="1"/>
    <col min="14071" max="14071" width="11" style="18" customWidth="1"/>
    <col min="14072" max="14072" width="8.5703125" style="18" customWidth="1"/>
    <col min="14073" max="14073" width="11" style="18" customWidth="1"/>
    <col min="14074" max="14074" width="8.42578125" style="18" customWidth="1"/>
    <col min="14075" max="14075" width="11.28515625" style="18" customWidth="1"/>
    <col min="14076" max="14076" width="7.140625" style="18" customWidth="1"/>
    <col min="14077" max="14077" width="9.42578125" style="18" customWidth="1"/>
    <col min="14078" max="14078" width="7.140625" style="18" customWidth="1"/>
    <col min="14079" max="14079" width="9.85546875" style="18" customWidth="1"/>
    <col min="14080" max="14080" width="7.85546875" style="18" customWidth="1"/>
    <col min="14081" max="14081" width="11" style="18" customWidth="1"/>
    <col min="14082" max="14082" width="7.85546875" style="18" customWidth="1"/>
    <col min="14083" max="14083" width="10.5703125" style="18" customWidth="1"/>
    <col min="14084" max="14084" width="7.28515625" style="18" customWidth="1"/>
    <col min="14085" max="14085" width="10.140625" style="18" customWidth="1"/>
    <col min="14086" max="14086" width="7.7109375" style="18" customWidth="1"/>
    <col min="14087" max="14087" width="9.85546875" style="18" customWidth="1"/>
    <col min="14088" max="14088" width="8.28515625" style="18" customWidth="1"/>
    <col min="14089" max="14089" width="11.140625" style="18" customWidth="1"/>
    <col min="14090" max="14090" width="7.85546875" style="18" customWidth="1"/>
    <col min="14091" max="14091" width="11.5703125" style="18" customWidth="1"/>
    <col min="14092" max="14093" width="9.140625" style="18"/>
    <col min="14094" max="14094" width="12.28515625" style="18" customWidth="1"/>
    <col min="14095" max="14318" width="9.140625" style="18"/>
    <col min="14319" max="14319" width="38" style="18" customWidth="1"/>
    <col min="14320" max="14320" width="8" style="18" customWidth="1"/>
    <col min="14321" max="14321" width="12.140625" style="18" customWidth="1"/>
    <col min="14322" max="14322" width="8.5703125" style="18" customWidth="1"/>
    <col min="14323" max="14323" width="11.42578125" style="18" customWidth="1"/>
    <col min="14324" max="14324" width="7.140625" style="18" customWidth="1"/>
    <col min="14325" max="14325" width="10.7109375" style="18" customWidth="1"/>
    <col min="14326" max="14326" width="7.42578125" style="18" customWidth="1"/>
    <col min="14327" max="14327" width="11" style="18" customWidth="1"/>
    <col min="14328" max="14328" width="8.5703125" style="18" customWidth="1"/>
    <col min="14329" max="14329" width="11" style="18" customWidth="1"/>
    <col min="14330" max="14330" width="8.42578125" style="18" customWidth="1"/>
    <col min="14331" max="14331" width="11.28515625" style="18" customWidth="1"/>
    <col min="14332" max="14332" width="7.140625" style="18" customWidth="1"/>
    <col min="14333" max="14333" width="9.42578125" style="18" customWidth="1"/>
    <col min="14334" max="14334" width="7.140625" style="18" customWidth="1"/>
    <col min="14335" max="14335" width="9.85546875" style="18" customWidth="1"/>
    <col min="14336" max="14336" width="7.85546875" style="18" customWidth="1"/>
    <col min="14337" max="14337" width="11" style="18" customWidth="1"/>
    <col min="14338" max="14338" width="7.85546875" style="18" customWidth="1"/>
    <col min="14339" max="14339" width="10.5703125" style="18" customWidth="1"/>
    <col min="14340" max="14340" width="7.28515625" style="18" customWidth="1"/>
    <col min="14341" max="14341" width="10.140625" style="18" customWidth="1"/>
    <col min="14342" max="14342" width="7.7109375" style="18" customWidth="1"/>
    <col min="14343" max="14343" width="9.85546875" style="18" customWidth="1"/>
    <col min="14344" max="14344" width="8.28515625" style="18" customWidth="1"/>
    <col min="14345" max="14345" width="11.140625" style="18" customWidth="1"/>
    <col min="14346" max="14346" width="7.85546875" style="18" customWidth="1"/>
    <col min="14347" max="14347" width="11.5703125" style="18" customWidth="1"/>
    <col min="14348" max="14349" width="9.140625" style="18"/>
    <col min="14350" max="14350" width="12.28515625" style="18" customWidth="1"/>
    <col min="14351" max="14574" width="9.140625" style="18"/>
    <col min="14575" max="14575" width="38" style="18" customWidth="1"/>
    <col min="14576" max="14576" width="8" style="18" customWidth="1"/>
    <col min="14577" max="14577" width="12.140625" style="18" customWidth="1"/>
    <col min="14578" max="14578" width="8.5703125" style="18" customWidth="1"/>
    <col min="14579" max="14579" width="11.42578125" style="18" customWidth="1"/>
    <col min="14580" max="14580" width="7.140625" style="18" customWidth="1"/>
    <col min="14581" max="14581" width="10.7109375" style="18" customWidth="1"/>
    <col min="14582" max="14582" width="7.42578125" style="18" customWidth="1"/>
    <col min="14583" max="14583" width="11" style="18" customWidth="1"/>
    <col min="14584" max="14584" width="8.5703125" style="18" customWidth="1"/>
    <col min="14585" max="14585" width="11" style="18" customWidth="1"/>
    <col min="14586" max="14586" width="8.42578125" style="18" customWidth="1"/>
    <col min="14587" max="14587" width="11.28515625" style="18" customWidth="1"/>
    <col min="14588" max="14588" width="7.140625" style="18" customWidth="1"/>
    <col min="14589" max="14589" width="9.42578125" style="18" customWidth="1"/>
    <col min="14590" max="14590" width="7.140625" style="18" customWidth="1"/>
    <col min="14591" max="14591" width="9.85546875" style="18" customWidth="1"/>
    <col min="14592" max="14592" width="7.85546875" style="18" customWidth="1"/>
    <col min="14593" max="14593" width="11" style="18" customWidth="1"/>
    <col min="14594" max="14594" width="7.85546875" style="18" customWidth="1"/>
    <col min="14595" max="14595" width="10.5703125" style="18" customWidth="1"/>
    <col min="14596" max="14596" width="7.28515625" style="18" customWidth="1"/>
    <col min="14597" max="14597" width="10.140625" style="18" customWidth="1"/>
    <col min="14598" max="14598" width="7.7109375" style="18" customWidth="1"/>
    <col min="14599" max="14599" width="9.85546875" style="18" customWidth="1"/>
    <col min="14600" max="14600" width="8.28515625" style="18" customWidth="1"/>
    <col min="14601" max="14601" width="11.140625" style="18" customWidth="1"/>
    <col min="14602" max="14602" width="7.85546875" style="18" customWidth="1"/>
    <col min="14603" max="14603" width="11.5703125" style="18" customWidth="1"/>
    <col min="14604" max="14605" width="9.140625" style="18"/>
    <col min="14606" max="14606" width="12.28515625" style="18" customWidth="1"/>
    <col min="14607" max="14830" width="9.140625" style="18"/>
    <col min="14831" max="14831" width="38" style="18" customWidth="1"/>
    <col min="14832" max="14832" width="8" style="18" customWidth="1"/>
    <col min="14833" max="14833" width="12.140625" style="18" customWidth="1"/>
    <col min="14834" max="14834" width="8.5703125" style="18" customWidth="1"/>
    <col min="14835" max="14835" width="11.42578125" style="18" customWidth="1"/>
    <col min="14836" max="14836" width="7.140625" style="18" customWidth="1"/>
    <col min="14837" max="14837" width="10.7109375" style="18" customWidth="1"/>
    <col min="14838" max="14838" width="7.42578125" style="18" customWidth="1"/>
    <col min="14839" max="14839" width="11" style="18" customWidth="1"/>
    <col min="14840" max="14840" width="8.5703125" style="18" customWidth="1"/>
    <col min="14841" max="14841" width="11" style="18" customWidth="1"/>
    <col min="14842" max="14842" width="8.42578125" style="18" customWidth="1"/>
    <col min="14843" max="14843" width="11.28515625" style="18" customWidth="1"/>
    <col min="14844" max="14844" width="7.140625" style="18" customWidth="1"/>
    <col min="14845" max="14845" width="9.42578125" style="18" customWidth="1"/>
    <col min="14846" max="14846" width="7.140625" style="18" customWidth="1"/>
    <col min="14847" max="14847" width="9.85546875" style="18" customWidth="1"/>
    <col min="14848" max="14848" width="7.85546875" style="18" customWidth="1"/>
    <col min="14849" max="14849" width="11" style="18" customWidth="1"/>
    <col min="14850" max="14850" width="7.85546875" style="18" customWidth="1"/>
    <col min="14851" max="14851" width="10.5703125" style="18" customWidth="1"/>
    <col min="14852" max="14852" width="7.28515625" style="18" customWidth="1"/>
    <col min="14853" max="14853" width="10.140625" style="18" customWidth="1"/>
    <col min="14854" max="14854" width="7.7109375" style="18" customWidth="1"/>
    <col min="14855" max="14855" width="9.85546875" style="18" customWidth="1"/>
    <col min="14856" max="14856" width="8.28515625" style="18" customWidth="1"/>
    <col min="14857" max="14857" width="11.140625" style="18" customWidth="1"/>
    <col min="14858" max="14858" width="7.85546875" style="18" customWidth="1"/>
    <col min="14859" max="14859" width="11.5703125" style="18" customWidth="1"/>
    <col min="14860" max="14861" width="9.140625" style="18"/>
    <col min="14862" max="14862" width="12.28515625" style="18" customWidth="1"/>
    <col min="14863" max="15086" width="9.140625" style="18"/>
    <col min="15087" max="15087" width="38" style="18" customWidth="1"/>
    <col min="15088" max="15088" width="8" style="18" customWidth="1"/>
    <col min="15089" max="15089" width="12.140625" style="18" customWidth="1"/>
    <col min="15090" max="15090" width="8.5703125" style="18" customWidth="1"/>
    <col min="15091" max="15091" width="11.42578125" style="18" customWidth="1"/>
    <col min="15092" max="15092" width="7.140625" style="18" customWidth="1"/>
    <col min="15093" max="15093" width="10.7109375" style="18" customWidth="1"/>
    <col min="15094" max="15094" width="7.42578125" style="18" customWidth="1"/>
    <col min="15095" max="15095" width="11" style="18" customWidth="1"/>
    <col min="15096" max="15096" width="8.5703125" style="18" customWidth="1"/>
    <col min="15097" max="15097" width="11" style="18" customWidth="1"/>
    <col min="15098" max="15098" width="8.42578125" style="18" customWidth="1"/>
    <col min="15099" max="15099" width="11.28515625" style="18" customWidth="1"/>
    <col min="15100" max="15100" width="7.140625" style="18" customWidth="1"/>
    <col min="15101" max="15101" width="9.42578125" style="18" customWidth="1"/>
    <col min="15102" max="15102" width="7.140625" style="18" customWidth="1"/>
    <col min="15103" max="15103" width="9.85546875" style="18" customWidth="1"/>
    <col min="15104" max="15104" width="7.85546875" style="18" customWidth="1"/>
    <col min="15105" max="15105" width="11" style="18" customWidth="1"/>
    <col min="15106" max="15106" width="7.85546875" style="18" customWidth="1"/>
    <col min="15107" max="15107" width="10.5703125" style="18" customWidth="1"/>
    <col min="15108" max="15108" width="7.28515625" style="18" customWidth="1"/>
    <col min="15109" max="15109" width="10.140625" style="18" customWidth="1"/>
    <col min="15110" max="15110" width="7.7109375" style="18" customWidth="1"/>
    <col min="15111" max="15111" width="9.85546875" style="18" customWidth="1"/>
    <col min="15112" max="15112" width="8.28515625" style="18" customWidth="1"/>
    <col min="15113" max="15113" width="11.140625" style="18" customWidth="1"/>
    <col min="15114" max="15114" width="7.85546875" style="18" customWidth="1"/>
    <col min="15115" max="15115" width="11.5703125" style="18" customWidth="1"/>
    <col min="15116" max="15117" width="9.140625" style="18"/>
    <col min="15118" max="15118" width="12.28515625" style="18" customWidth="1"/>
    <col min="15119" max="15342" width="9.140625" style="18"/>
    <col min="15343" max="15343" width="38" style="18" customWidth="1"/>
    <col min="15344" max="15344" width="8" style="18" customWidth="1"/>
    <col min="15345" max="15345" width="12.140625" style="18" customWidth="1"/>
    <col min="15346" max="15346" width="8.5703125" style="18" customWidth="1"/>
    <col min="15347" max="15347" width="11.42578125" style="18" customWidth="1"/>
    <col min="15348" max="15348" width="7.140625" style="18" customWidth="1"/>
    <col min="15349" max="15349" width="10.7109375" style="18" customWidth="1"/>
    <col min="15350" max="15350" width="7.42578125" style="18" customWidth="1"/>
    <col min="15351" max="15351" width="11" style="18" customWidth="1"/>
    <col min="15352" max="15352" width="8.5703125" style="18" customWidth="1"/>
    <col min="15353" max="15353" width="11" style="18" customWidth="1"/>
    <col min="15354" max="15354" width="8.42578125" style="18" customWidth="1"/>
    <col min="15355" max="15355" width="11.28515625" style="18" customWidth="1"/>
    <col min="15356" max="15356" width="7.140625" style="18" customWidth="1"/>
    <col min="15357" max="15357" width="9.42578125" style="18" customWidth="1"/>
    <col min="15358" max="15358" width="7.140625" style="18" customWidth="1"/>
    <col min="15359" max="15359" width="9.85546875" style="18" customWidth="1"/>
    <col min="15360" max="15360" width="7.85546875" style="18" customWidth="1"/>
    <col min="15361" max="15361" width="11" style="18" customWidth="1"/>
    <col min="15362" max="15362" width="7.85546875" style="18" customWidth="1"/>
    <col min="15363" max="15363" width="10.5703125" style="18" customWidth="1"/>
    <col min="15364" max="15364" width="7.28515625" style="18" customWidth="1"/>
    <col min="15365" max="15365" width="10.140625" style="18" customWidth="1"/>
    <col min="15366" max="15366" width="7.7109375" style="18" customWidth="1"/>
    <col min="15367" max="15367" width="9.85546875" style="18" customWidth="1"/>
    <col min="15368" max="15368" width="8.28515625" style="18" customWidth="1"/>
    <col min="15369" max="15369" width="11.140625" style="18" customWidth="1"/>
    <col min="15370" max="15370" width="7.85546875" style="18" customWidth="1"/>
    <col min="15371" max="15371" width="11.5703125" style="18" customWidth="1"/>
    <col min="15372" max="15373" width="9.140625" style="18"/>
    <col min="15374" max="15374" width="12.28515625" style="18" customWidth="1"/>
    <col min="15375" max="15598" width="9.140625" style="18"/>
    <col min="15599" max="15599" width="38" style="18" customWidth="1"/>
    <col min="15600" max="15600" width="8" style="18" customWidth="1"/>
    <col min="15601" max="15601" width="12.140625" style="18" customWidth="1"/>
    <col min="15602" max="15602" width="8.5703125" style="18" customWidth="1"/>
    <col min="15603" max="15603" width="11.42578125" style="18" customWidth="1"/>
    <col min="15604" max="15604" width="7.140625" style="18" customWidth="1"/>
    <col min="15605" max="15605" width="10.7109375" style="18" customWidth="1"/>
    <col min="15606" max="15606" width="7.42578125" style="18" customWidth="1"/>
    <col min="15607" max="15607" width="11" style="18" customWidth="1"/>
    <col min="15608" max="15608" width="8.5703125" style="18" customWidth="1"/>
    <col min="15609" max="15609" width="11" style="18" customWidth="1"/>
    <col min="15610" max="15610" width="8.42578125" style="18" customWidth="1"/>
    <col min="15611" max="15611" width="11.28515625" style="18" customWidth="1"/>
    <col min="15612" max="15612" width="7.140625" style="18" customWidth="1"/>
    <col min="15613" max="15613" width="9.42578125" style="18" customWidth="1"/>
    <col min="15614" max="15614" width="7.140625" style="18" customWidth="1"/>
    <col min="15615" max="15615" width="9.85546875" style="18" customWidth="1"/>
    <col min="15616" max="15616" width="7.85546875" style="18" customWidth="1"/>
    <col min="15617" max="15617" width="11" style="18" customWidth="1"/>
    <col min="15618" max="15618" width="7.85546875" style="18" customWidth="1"/>
    <col min="15619" max="15619" width="10.5703125" style="18" customWidth="1"/>
    <col min="15620" max="15620" width="7.28515625" style="18" customWidth="1"/>
    <col min="15621" max="15621" width="10.140625" style="18" customWidth="1"/>
    <col min="15622" max="15622" width="7.7109375" style="18" customWidth="1"/>
    <col min="15623" max="15623" width="9.85546875" style="18" customWidth="1"/>
    <col min="15624" max="15624" width="8.28515625" style="18" customWidth="1"/>
    <col min="15625" max="15625" width="11.140625" style="18" customWidth="1"/>
    <col min="15626" max="15626" width="7.85546875" style="18" customWidth="1"/>
    <col min="15627" max="15627" width="11.5703125" style="18" customWidth="1"/>
    <col min="15628" max="15629" width="9.140625" style="18"/>
    <col min="15630" max="15630" width="12.28515625" style="18" customWidth="1"/>
    <col min="15631" max="15854" width="9.140625" style="18"/>
    <col min="15855" max="15855" width="38" style="18" customWidth="1"/>
    <col min="15856" max="15856" width="8" style="18" customWidth="1"/>
    <col min="15857" max="15857" width="12.140625" style="18" customWidth="1"/>
    <col min="15858" max="15858" width="8.5703125" style="18" customWidth="1"/>
    <col min="15859" max="15859" width="11.42578125" style="18" customWidth="1"/>
    <col min="15860" max="15860" width="7.140625" style="18" customWidth="1"/>
    <col min="15861" max="15861" width="10.7109375" style="18" customWidth="1"/>
    <col min="15862" max="15862" width="7.42578125" style="18" customWidth="1"/>
    <col min="15863" max="15863" width="11" style="18" customWidth="1"/>
    <col min="15864" max="15864" width="8.5703125" style="18" customWidth="1"/>
    <col min="15865" max="15865" width="11" style="18" customWidth="1"/>
    <col min="15866" max="15866" width="8.42578125" style="18" customWidth="1"/>
    <col min="15867" max="15867" width="11.28515625" style="18" customWidth="1"/>
    <col min="15868" max="15868" width="7.140625" style="18" customWidth="1"/>
    <col min="15869" max="15869" width="9.42578125" style="18" customWidth="1"/>
    <col min="15870" max="15870" width="7.140625" style="18" customWidth="1"/>
    <col min="15871" max="15871" width="9.85546875" style="18" customWidth="1"/>
    <col min="15872" max="15872" width="7.85546875" style="18" customWidth="1"/>
    <col min="15873" max="15873" width="11" style="18" customWidth="1"/>
    <col min="15874" max="15874" width="7.85546875" style="18" customWidth="1"/>
    <col min="15875" max="15875" width="10.5703125" style="18" customWidth="1"/>
    <col min="15876" max="15876" width="7.28515625" style="18" customWidth="1"/>
    <col min="15877" max="15877" width="10.140625" style="18" customWidth="1"/>
    <col min="15878" max="15878" width="7.7109375" style="18" customWidth="1"/>
    <col min="15879" max="15879" width="9.85546875" style="18" customWidth="1"/>
    <col min="15880" max="15880" width="8.28515625" style="18" customWidth="1"/>
    <col min="15881" max="15881" width="11.140625" style="18" customWidth="1"/>
    <col min="15882" max="15882" width="7.85546875" style="18" customWidth="1"/>
    <col min="15883" max="15883" width="11.5703125" style="18" customWidth="1"/>
    <col min="15884" max="15885" width="9.140625" style="18"/>
    <col min="15886" max="15886" width="12.28515625" style="18" customWidth="1"/>
    <col min="15887" max="16110" width="9.140625" style="18"/>
    <col min="16111" max="16111" width="38" style="18" customWidth="1"/>
    <col min="16112" max="16112" width="8" style="18" customWidth="1"/>
    <col min="16113" max="16113" width="12.140625" style="18" customWidth="1"/>
    <col min="16114" max="16114" width="8.5703125" style="18" customWidth="1"/>
    <col min="16115" max="16115" width="11.42578125" style="18" customWidth="1"/>
    <col min="16116" max="16116" width="7.140625" style="18" customWidth="1"/>
    <col min="16117" max="16117" width="10.7109375" style="18" customWidth="1"/>
    <col min="16118" max="16118" width="7.42578125" style="18" customWidth="1"/>
    <col min="16119" max="16119" width="11" style="18" customWidth="1"/>
    <col min="16120" max="16120" width="8.5703125" style="18" customWidth="1"/>
    <col min="16121" max="16121" width="11" style="18" customWidth="1"/>
    <col min="16122" max="16122" width="8.42578125" style="18" customWidth="1"/>
    <col min="16123" max="16123" width="11.28515625" style="18" customWidth="1"/>
    <col min="16124" max="16124" width="7.140625" style="18" customWidth="1"/>
    <col min="16125" max="16125" width="9.42578125" style="18" customWidth="1"/>
    <col min="16126" max="16126" width="7.140625" style="18" customWidth="1"/>
    <col min="16127" max="16127" width="9.85546875" style="18" customWidth="1"/>
    <col min="16128" max="16128" width="7.85546875" style="18" customWidth="1"/>
    <col min="16129" max="16129" width="11" style="18" customWidth="1"/>
    <col min="16130" max="16130" width="7.85546875" style="18" customWidth="1"/>
    <col min="16131" max="16131" width="10.5703125" style="18" customWidth="1"/>
    <col min="16132" max="16132" width="7.28515625" style="18" customWidth="1"/>
    <col min="16133" max="16133" width="10.140625" style="18" customWidth="1"/>
    <col min="16134" max="16134" width="7.7109375" style="18" customWidth="1"/>
    <col min="16135" max="16135" width="9.85546875" style="18" customWidth="1"/>
    <col min="16136" max="16136" width="8.28515625" style="18" customWidth="1"/>
    <col min="16137" max="16137" width="11.140625" style="18" customWidth="1"/>
    <col min="16138" max="16138" width="7.85546875" style="18" customWidth="1"/>
    <col min="16139" max="16139" width="11.5703125" style="18" customWidth="1"/>
    <col min="16140" max="16141" width="9.140625" style="18"/>
    <col min="16142" max="16142" width="12.28515625" style="18" customWidth="1"/>
    <col min="16143" max="16384" width="9.140625" style="18"/>
  </cols>
  <sheetData>
    <row r="1" spans="1:39" ht="22.5" customHeight="1" x14ac:dyDescent="0.2">
      <c r="A1" s="209" t="s">
        <v>325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</row>
    <row r="2" spans="1:39" ht="20.25" customHeight="1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 t="s">
        <v>326</v>
      </c>
    </row>
    <row r="3" spans="1:39" ht="26.25" customHeight="1" x14ac:dyDescent="0.2">
      <c r="A3" s="211" t="s">
        <v>327</v>
      </c>
      <c r="B3" s="211" t="s">
        <v>12</v>
      </c>
      <c r="C3" s="176" t="s">
        <v>328</v>
      </c>
      <c r="D3" s="212"/>
      <c r="E3" s="212"/>
      <c r="F3" s="212"/>
      <c r="G3" s="213" t="s">
        <v>329</v>
      </c>
      <c r="H3" s="214"/>
      <c r="I3" s="214"/>
      <c r="J3" s="214"/>
      <c r="K3" s="213" t="s">
        <v>330</v>
      </c>
      <c r="L3" s="214"/>
      <c r="M3" s="214"/>
      <c r="N3" s="213" t="s">
        <v>331</v>
      </c>
      <c r="O3" s="213" t="s">
        <v>332</v>
      </c>
    </row>
    <row r="4" spans="1:39" ht="27" customHeight="1" x14ac:dyDescent="0.2">
      <c r="A4" s="211"/>
      <c r="B4" s="211"/>
      <c r="C4" s="113" t="s">
        <v>333</v>
      </c>
      <c r="D4" s="113" t="s">
        <v>334</v>
      </c>
      <c r="E4" s="113" t="s">
        <v>335</v>
      </c>
      <c r="F4" s="113" t="s">
        <v>33</v>
      </c>
      <c r="G4" s="113" t="s">
        <v>333</v>
      </c>
      <c r="H4" s="113" t="s">
        <v>334</v>
      </c>
      <c r="I4" s="113" t="s">
        <v>335</v>
      </c>
      <c r="J4" s="113" t="s">
        <v>33</v>
      </c>
      <c r="K4" s="113" t="s">
        <v>336</v>
      </c>
      <c r="L4" s="113" t="s">
        <v>337</v>
      </c>
      <c r="M4" s="113" t="s">
        <v>33</v>
      </c>
      <c r="N4" s="213"/>
      <c r="O4" s="213"/>
    </row>
    <row r="5" spans="1:39" x14ac:dyDescent="0.2">
      <c r="A5" s="114" t="s">
        <v>338</v>
      </c>
      <c r="B5" s="115">
        <f>F5+J5+M5+N5+O5</f>
        <v>397</v>
      </c>
      <c r="C5" s="116">
        <v>392</v>
      </c>
      <c r="D5" s="116">
        <f>33-28</f>
        <v>5</v>
      </c>
      <c r="E5" s="116"/>
      <c r="F5" s="116">
        <f t="shared" ref="F5:F49" si="0">C5+D5+E5</f>
        <v>397</v>
      </c>
      <c r="G5" s="116"/>
      <c r="H5" s="116"/>
      <c r="I5" s="116"/>
      <c r="J5" s="116"/>
      <c r="K5" s="116"/>
      <c r="L5" s="116"/>
      <c r="M5" s="116"/>
      <c r="N5" s="116"/>
      <c r="O5" s="116"/>
    </row>
    <row r="6" spans="1:39" x14ac:dyDescent="0.2">
      <c r="A6" s="117" t="s">
        <v>57</v>
      </c>
      <c r="B6" s="115">
        <f t="shared" ref="B6:B49" si="1">F6+J6+M6+N6+O6</f>
        <v>1777</v>
      </c>
      <c r="C6" s="116">
        <v>1582</v>
      </c>
      <c r="D6" s="116">
        <v>195</v>
      </c>
      <c r="E6" s="116"/>
      <c r="F6" s="116">
        <f t="shared" si="0"/>
        <v>1777</v>
      </c>
      <c r="G6" s="116"/>
      <c r="H6" s="116"/>
      <c r="I6" s="116"/>
      <c r="J6" s="116"/>
      <c r="K6" s="116"/>
      <c r="L6" s="116"/>
      <c r="M6" s="116"/>
      <c r="N6" s="116"/>
      <c r="O6" s="116"/>
    </row>
    <row r="7" spans="1:39" x14ac:dyDescent="0.2">
      <c r="A7" s="117" t="s">
        <v>63</v>
      </c>
      <c r="B7" s="115">
        <f t="shared" si="1"/>
        <v>2707</v>
      </c>
      <c r="C7" s="118">
        <f>2520+87</f>
        <v>2607</v>
      </c>
      <c r="D7" s="116"/>
      <c r="E7" s="116">
        <v>100</v>
      </c>
      <c r="F7" s="116">
        <f t="shared" si="0"/>
        <v>2707</v>
      </c>
      <c r="G7" s="116"/>
      <c r="H7" s="116"/>
      <c r="I7" s="116"/>
      <c r="J7" s="116"/>
      <c r="K7" s="116"/>
      <c r="L7" s="116"/>
      <c r="M7" s="116"/>
      <c r="N7" s="116"/>
      <c r="O7" s="116"/>
    </row>
    <row r="8" spans="1:39" x14ac:dyDescent="0.2">
      <c r="A8" s="117" t="s">
        <v>69</v>
      </c>
      <c r="B8" s="115">
        <f t="shared" si="1"/>
        <v>1200</v>
      </c>
      <c r="C8" s="116">
        <f>1624-424</f>
        <v>1200</v>
      </c>
      <c r="D8" s="116"/>
      <c r="E8" s="116"/>
      <c r="F8" s="116">
        <f t="shared" si="0"/>
        <v>1200</v>
      </c>
      <c r="G8" s="116"/>
      <c r="H8" s="116"/>
      <c r="I8" s="116"/>
      <c r="J8" s="116"/>
      <c r="K8" s="116"/>
      <c r="L8" s="116"/>
      <c r="M8" s="116"/>
      <c r="N8" s="116"/>
      <c r="O8" s="116"/>
    </row>
    <row r="9" spans="1:39" x14ac:dyDescent="0.2">
      <c r="A9" s="117" t="s">
        <v>100</v>
      </c>
      <c r="B9" s="115">
        <f t="shared" si="1"/>
        <v>2331</v>
      </c>
      <c r="C9" s="118">
        <f>2600-300-203</f>
        <v>2097</v>
      </c>
      <c r="D9" s="116">
        <f>280-150-124</f>
        <v>6</v>
      </c>
      <c r="E9" s="116">
        <f>0+104+124</f>
        <v>228</v>
      </c>
      <c r="F9" s="116">
        <f t="shared" si="0"/>
        <v>2331</v>
      </c>
      <c r="G9" s="116"/>
      <c r="H9" s="116"/>
      <c r="I9" s="116"/>
      <c r="J9" s="116"/>
      <c r="K9" s="116"/>
      <c r="L9" s="116"/>
      <c r="M9" s="116"/>
      <c r="N9" s="116"/>
      <c r="O9" s="116"/>
    </row>
    <row r="10" spans="1:39" x14ac:dyDescent="0.2">
      <c r="A10" s="114" t="s">
        <v>82</v>
      </c>
      <c r="B10" s="115">
        <f t="shared" si="1"/>
        <v>261</v>
      </c>
      <c r="C10" s="116">
        <f>389-64-64</f>
        <v>261</v>
      </c>
      <c r="D10" s="116"/>
      <c r="E10" s="116"/>
      <c r="F10" s="116">
        <f t="shared" si="0"/>
        <v>261</v>
      </c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39" x14ac:dyDescent="0.2">
      <c r="A11" s="114" t="s">
        <v>112</v>
      </c>
      <c r="B11" s="116">
        <f t="shared" si="1"/>
        <v>1290</v>
      </c>
      <c r="C11" s="116">
        <v>1290</v>
      </c>
      <c r="D11" s="116"/>
      <c r="E11" s="116"/>
      <c r="F11" s="116">
        <f t="shared" si="0"/>
        <v>1290</v>
      </c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39" x14ac:dyDescent="0.2">
      <c r="A12" s="117" t="s">
        <v>339</v>
      </c>
      <c r="B12" s="116">
        <f t="shared" si="1"/>
        <v>3251</v>
      </c>
      <c r="C12" s="118">
        <f>2500+300+203</f>
        <v>3003</v>
      </c>
      <c r="D12" s="116">
        <v>248</v>
      </c>
      <c r="E12" s="116"/>
      <c r="F12" s="116">
        <f t="shared" si="0"/>
        <v>3251</v>
      </c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39" x14ac:dyDescent="0.2">
      <c r="A13" s="119" t="s">
        <v>340</v>
      </c>
      <c r="B13" s="116">
        <f t="shared" si="1"/>
        <v>2143</v>
      </c>
      <c r="C13" s="116">
        <v>1920</v>
      </c>
      <c r="D13" s="116">
        <v>223</v>
      </c>
      <c r="E13" s="116"/>
      <c r="F13" s="116">
        <f t="shared" si="0"/>
        <v>2143</v>
      </c>
      <c r="G13" s="116"/>
      <c r="H13" s="116"/>
      <c r="I13" s="116"/>
      <c r="J13" s="116"/>
      <c r="K13" s="116"/>
      <c r="L13" s="116"/>
      <c r="M13" s="116"/>
      <c r="N13" s="116"/>
      <c r="O13" s="116"/>
    </row>
    <row r="14" spans="1:39" x14ac:dyDescent="0.2">
      <c r="A14" s="117" t="s">
        <v>341</v>
      </c>
      <c r="B14" s="116">
        <f t="shared" si="1"/>
        <v>1989</v>
      </c>
      <c r="C14" s="116">
        <f>4400-1100-1487</f>
        <v>1813</v>
      </c>
      <c r="D14" s="116">
        <f>440-264</f>
        <v>176</v>
      </c>
      <c r="E14" s="116"/>
      <c r="F14" s="116">
        <f t="shared" si="0"/>
        <v>1989</v>
      </c>
      <c r="G14" s="116"/>
      <c r="H14" s="116"/>
      <c r="I14" s="116"/>
      <c r="J14" s="116"/>
      <c r="K14" s="116"/>
      <c r="L14" s="116"/>
      <c r="M14" s="116"/>
      <c r="N14" s="116"/>
      <c r="O14" s="116"/>
    </row>
    <row r="15" spans="1:39" x14ac:dyDescent="0.2">
      <c r="A15" s="117" t="s">
        <v>342</v>
      </c>
      <c r="B15" s="116">
        <f t="shared" si="1"/>
        <v>1655</v>
      </c>
      <c r="C15" s="116">
        <f>1500-50</f>
        <v>1450</v>
      </c>
      <c r="D15" s="116">
        <v>105</v>
      </c>
      <c r="E15" s="116">
        <v>100</v>
      </c>
      <c r="F15" s="116">
        <f t="shared" si="0"/>
        <v>1655</v>
      </c>
      <c r="G15" s="116"/>
      <c r="H15" s="116"/>
      <c r="I15" s="116"/>
      <c r="J15" s="116"/>
      <c r="K15" s="116"/>
      <c r="L15" s="116"/>
      <c r="M15" s="116"/>
      <c r="N15" s="116"/>
      <c r="O15" s="116"/>
    </row>
    <row r="16" spans="1:39" x14ac:dyDescent="0.2">
      <c r="A16" s="117" t="s">
        <v>343</v>
      </c>
      <c r="B16" s="116">
        <f t="shared" si="1"/>
        <v>39090</v>
      </c>
      <c r="C16" s="116">
        <f>3200+150</f>
        <v>3350</v>
      </c>
      <c r="D16" s="116">
        <f>250-100</f>
        <v>150</v>
      </c>
      <c r="E16" s="116">
        <f>100-50</f>
        <v>50</v>
      </c>
      <c r="F16" s="116">
        <f t="shared" si="0"/>
        <v>3550</v>
      </c>
      <c r="G16" s="116">
        <v>1440</v>
      </c>
      <c r="H16" s="116">
        <v>100</v>
      </c>
      <c r="I16" s="116"/>
      <c r="J16" s="116">
        <f>G16+H16+I16</f>
        <v>1540</v>
      </c>
      <c r="K16" s="116"/>
      <c r="L16" s="116"/>
      <c r="M16" s="115"/>
      <c r="N16" s="116">
        <f>30000+4000</f>
        <v>34000</v>
      </c>
      <c r="O16" s="116"/>
    </row>
    <row r="17" spans="1:15" x14ac:dyDescent="0.2">
      <c r="A17" s="117" t="s">
        <v>344</v>
      </c>
      <c r="B17" s="116">
        <f t="shared" si="1"/>
        <v>3693</v>
      </c>
      <c r="C17" s="116">
        <v>3300</v>
      </c>
      <c r="D17" s="116">
        <v>393</v>
      </c>
      <c r="E17" s="116"/>
      <c r="F17" s="116">
        <f t="shared" si="0"/>
        <v>3693</v>
      </c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x14ac:dyDescent="0.2">
      <c r="A18" s="117" t="s">
        <v>35</v>
      </c>
      <c r="B18" s="116">
        <f t="shared" si="1"/>
        <v>3073</v>
      </c>
      <c r="C18" s="116">
        <v>2700</v>
      </c>
      <c r="D18" s="116">
        <f>400-150</f>
        <v>250</v>
      </c>
      <c r="E18" s="116">
        <f>20+103</f>
        <v>123</v>
      </c>
      <c r="F18" s="116">
        <f t="shared" si="0"/>
        <v>3073</v>
      </c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x14ac:dyDescent="0.2">
      <c r="A19" s="117" t="s">
        <v>4</v>
      </c>
      <c r="B19" s="116">
        <f t="shared" si="1"/>
        <v>2593</v>
      </c>
      <c r="C19" s="118">
        <f>2300-87+290</f>
        <v>2503</v>
      </c>
      <c r="D19" s="116">
        <v>85</v>
      </c>
      <c r="E19" s="116">
        <v>5</v>
      </c>
      <c r="F19" s="116">
        <f t="shared" si="0"/>
        <v>2593</v>
      </c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x14ac:dyDescent="0.2">
      <c r="A20" s="117" t="s">
        <v>345</v>
      </c>
      <c r="B20" s="116">
        <f t="shared" si="1"/>
        <v>1850</v>
      </c>
      <c r="C20" s="116">
        <v>1850</v>
      </c>
      <c r="D20" s="116"/>
      <c r="E20" s="116"/>
      <c r="F20" s="116">
        <f t="shared" si="0"/>
        <v>1850</v>
      </c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x14ac:dyDescent="0.2">
      <c r="A21" s="117" t="s">
        <v>346</v>
      </c>
      <c r="B21" s="116">
        <f t="shared" si="1"/>
        <v>1000</v>
      </c>
      <c r="C21" s="116">
        <f>1200-200</f>
        <v>1000</v>
      </c>
      <c r="D21" s="116"/>
      <c r="E21" s="116"/>
      <c r="F21" s="116">
        <f t="shared" si="0"/>
        <v>1000</v>
      </c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x14ac:dyDescent="0.2">
      <c r="A22" s="117" t="s">
        <v>347</v>
      </c>
      <c r="B22" s="116">
        <f t="shared" si="1"/>
        <v>5730</v>
      </c>
      <c r="C22" s="116">
        <f>5380+40</f>
        <v>5420</v>
      </c>
      <c r="D22" s="116">
        <v>310</v>
      </c>
      <c r="E22" s="116"/>
      <c r="F22" s="116">
        <f t="shared" si="0"/>
        <v>5730</v>
      </c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x14ac:dyDescent="0.2">
      <c r="A23" s="117" t="s">
        <v>5</v>
      </c>
      <c r="B23" s="116">
        <f t="shared" si="1"/>
        <v>8039</v>
      </c>
      <c r="C23" s="116">
        <f>3500+100</f>
        <v>3600</v>
      </c>
      <c r="D23" s="116">
        <v>390</v>
      </c>
      <c r="E23" s="116">
        <v>200</v>
      </c>
      <c r="F23" s="116">
        <f t="shared" si="0"/>
        <v>4190</v>
      </c>
      <c r="G23" s="116">
        <v>3544</v>
      </c>
      <c r="H23" s="116">
        <v>205</v>
      </c>
      <c r="I23" s="116">
        <v>100</v>
      </c>
      <c r="J23" s="116">
        <f>G23+H23+I23</f>
        <v>3849</v>
      </c>
      <c r="K23" s="116"/>
      <c r="L23" s="116"/>
      <c r="M23" s="116"/>
      <c r="N23" s="116"/>
      <c r="O23" s="116"/>
    </row>
    <row r="24" spans="1:15" x14ac:dyDescent="0.2">
      <c r="A24" s="117" t="s">
        <v>119</v>
      </c>
      <c r="B24" s="116">
        <f t="shared" si="1"/>
        <v>985</v>
      </c>
      <c r="C24" s="116">
        <v>835</v>
      </c>
      <c r="D24" s="116">
        <v>150</v>
      </c>
      <c r="E24" s="116"/>
      <c r="F24" s="116">
        <f t="shared" si="0"/>
        <v>985</v>
      </c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x14ac:dyDescent="0.2">
      <c r="A25" s="117" t="s">
        <v>348</v>
      </c>
      <c r="B25" s="116">
        <f t="shared" si="1"/>
        <v>10836</v>
      </c>
      <c r="C25" s="116">
        <v>6500</v>
      </c>
      <c r="D25" s="116"/>
      <c r="E25" s="116">
        <v>2130</v>
      </c>
      <c r="F25" s="116">
        <f t="shared" si="0"/>
        <v>8630</v>
      </c>
      <c r="G25" s="116">
        <f>2000+106</f>
        <v>2106</v>
      </c>
      <c r="H25" s="116">
        <v>100</v>
      </c>
      <c r="I25" s="116"/>
      <c r="J25" s="116">
        <f>G25+H25+I25</f>
        <v>2206</v>
      </c>
      <c r="K25" s="116"/>
      <c r="L25" s="116"/>
      <c r="M25" s="116"/>
      <c r="N25" s="116"/>
      <c r="O25" s="116"/>
    </row>
    <row r="26" spans="1:15" x14ac:dyDescent="0.2">
      <c r="A26" s="119" t="s">
        <v>349</v>
      </c>
      <c r="B26" s="116">
        <f t="shared" si="1"/>
        <v>7900</v>
      </c>
      <c r="C26" s="116">
        <f>5200+100</f>
        <v>5300</v>
      </c>
      <c r="D26" s="116">
        <v>600</v>
      </c>
      <c r="E26" s="116"/>
      <c r="F26" s="116">
        <f t="shared" si="0"/>
        <v>5900</v>
      </c>
      <c r="G26" s="116"/>
      <c r="H26" s="116"/>
      <c r="I26" s="116"/>
      <c r="J26" s="116"/>
      <c r="K26" s="116">
        <v>2000</v>
      </c>
      <c r="L26" s="116"/>
      <c r="M26" s="116">
        <f>K26+L26</f>
        <v>2000</v>
      </c>
      <c r="N26" s="116"/>
      <c r="O26" s="116"/>
    </row>
    <row r="27" spans="1:15" x14ac:dyDescent="0.2">
      <c r="A27" s="119" t="s">
        <v>350</v>
      </c>
      <c r="B27" s="116">
        <f t="shared" si="1"/>
        <v>11828</v>
      </c>
      <c r="C27" s="116">
        <v>5200</v>
      </c>
      <c r="D27" s="116">
        <v>700</v>
      </c>
      <c r="E27" s="116">
        <v>1000</v>
      </c>
      <c r="F27" s="116">
        <f t="shared" si="0"/>
        <v>6900</v>
      </c>
      <c r="G27" s="120">
        <f>4576-193</f>
        <v>4383</v>
      </c>
      <c r="H27" s="116">
        <v>445</v>
      </c>
      <c r="I27" s="116">
        <v>100</v>
      </c>
      <c r="J27" s="116">
        <f>G27+H27+I27</f>
        <v>4928</v>
      </c>
      <c r="K27" s="116"/>
      <c r="L27" s="116"/>
      <c r="M27" s="116"/>
      <c r="N27" s="116"/>
      <c r="O27" s="116"/>
    </row>
    <row r="28" spans="1:15" x14ac:dyDescent="0.2">
      <c r="A28" s="117" t="s">
        <v>175</v>
      </c>
      <c r="B28" s="116">
        <f t="shared" si="1"/>
        <v>4200</v>
      </c>
      <c r="C28" s="116">
        <v>2200</v>
      </c>
      <c r="D28" s="116"/>
      <c r="E28" s="116"/>
      <c r="F28" s="116">
        <f t="shared" si="0"/>
        <v>2200</v>
      </c>
      <c r="G28" s="121">
        <v>2000</v>
      </c>
      <c r="H28" s="116"/>
      <c r="I28" s="116"/>
      <c r="J28" s="116">
        <f>G28+H28+I28</f>
        <v>2000</v>
      </c>
      <c r="K28" s="116"/>
      <c r="L28" s="116"/>
      <c r="M28" s="116"/>
      <c r="N28" s="116"/>
      <c r="O28" s="116"/>
    </row>
    <row r="29" spans="1:15" x14ac:dyDescent="0.2">
      <c r="A29" s="117" t="s">
        <v>173</v>
      </c>
      <c r="B29" s="116">
        <f t="shared" si="1"/>
        <v>21565</v>
      </c>
      <c r="C29" s="116">
        <f>9800-800</f>
        <v>9000</v>
      </c>
      <c r="D29" s="116"/>
      <c r="E29" s="116">
        <f>1065+240</f>
        <v>1305</v>
      </c>
      <c r="F29" s="116">
        <f t="shared" si="0"/>
        <v>10305</v>
      </c>
      <c r="G29" s="121">
        <v>5550</v>
      </c>
      <c r="H29" s="116"/>
      <c r="I29" s="116">
        <v>660</v>
      </c>
      <c r="J29" s="116">
        <f>G29+H29+I29</f>
        <v>6210</v>
      </c>
      <c r="K29" s="116">
        <v>4000</v>
      </c>
      <c r="L29" s="116">
        <f>1050</f>
        <v>1050</v>
      </c>
      <c r="M29" s="116">
        <f>K29+L29</f>
        <v>5050</v>
      </c>
      <c r="N29" s="116"/>
      <c r="O29" s="116"/>
    </row>
    <row r="30" spans="1:15" x14ac:dyDescent="0.2">
      <c r="A30" s="117" t="s">
        <v>11</v>
      </c>
      <c r="B30" s="116">
        <f t="shared" si="1"/>
        <v>3290</v>
      </c>
      <c r="C30" s="116">
        <v>630</v>
      </c>
      <c r="D30" s="116"/>
      <c r="E30" s="116">
        <v>1760</v>
      </c>
      <c r="F30" s="116">
        <f t="shared" si="0"/>
        <v>2390</v>
      </c>
      <c r="G30" s="121"/>
      <c r="H30" s="116"/>
      <c r="I30" s="116"/>
      <c r="J30" s="116"/>
      <c r="K30" s="116">
        <v>900</v>
      </c>
      <c r="L30" s="116"/>
      <c r="M30" s="116">
        <f>K30+L30</f>
        <v>900</v>
      </c>
      <c r="N30" s="116"/>
      <c r="O30" s="116"/>
    </row>
    <row r="31" spans="1:15" x14ac:dyDescent="0.2">
      <c r="A31" s="117" t="s">
        <v>40</v>
      </c>
      <c r="B31" s="116">
        <f t="shared" si="1"/>
        <v>215905</v>
      </c>
      <c r="C31" s="116">
        <f>11000</f>
        <v>11000</v>
      </c>
      <c r="D31" s="116">
        <f>46-45</f>
        <v>1</v>
      </c>
      <c r="E31" s="116">
        <f>4310+31</f>
        <v>4341</v>
      </c>
      <c r="F31" s="116">
        <f t="shared" si="0"/>
        <v>15342</v>
      </c>
      <c r="G31" s="121">
        <v>5070</v>
      </c>
      <c r="H31" s="116">
        <f>10-7</f>
        <v>3</v>
      </c>
      <c r="I31" s="116">
        <f>385+5</f>
        <v>390</v>
      </c>
      <c r="J31" s="116">
        <f>G31+H31+I31</f>
        <v>5463</v>
      </c>
      <c r="K31" s="116">
        <v>6100</v>
      </c>
      <c r="L31" s="116"/>
      <c r="M31" s="116">
        <f>K31+L31</f>
        <v>6100</v>
      </c>
      <c r="N31" s="116">
        <v>189000</v>
      </c>
      <c r="O31" s="116"/>
    </row>
    <row r="32" spans="1:15" ht="15" customHeight="1" x14ac:dyDescent="0.2">
      <c r="A32" s="117" t="s">
        <v>68</v>
      </c>
      <c r="B32" s="116">
        <f t="shared" si="1"/>
        <v>2217</v>
      </c>
      <c r="C32" s="116">
        <v>2060</v>
      </c>
      <c r="D32" s="116">
        <v>25</v>
      </c>
      <c r="E32" s="116">
        <v>132</v>
      </c>
      <c r="F32" s="116">
        <f t="shared" si="0"/>
        <v>2217</v>
      </c>
      <c r="G32" s="121"/>
      <c r="H32" s="116"/>
      <c r="I32" s="116"/>
      <c r="J32" s="116"/>
      <c r="K32" s="116"/>
      <c r="L32" s="116"/>
      <c r="M32" s="116"/>
      <c r="N32" s="116"/>
      <c r="O32" s="116"/>
    </row>
    <row r="33" spans="1:15" x14ac:dyDescent="0.2">
      <c r="A33" s="117" t="s">
        <v>8</v>
      </c>
      <c r="B33" s="116">
        <f t="shared" si="1"/>
        <v>1428</v>
      </c>
      <c r="C33" s="116">
        <f>900+64+64</f>
        <v>1028</v>
      </c>
      <c r="D33" s="116">
        <v>400</v>
      </c>
      <c r="E33" s="116"/>
      <c r="F33" s="116">
        <f t="shared" si="0"/>
        <v>1428</v>
      </c>
      <c r="G33" s="121"/>
      <c r="H33" s="116"/>
      <c r="I33" s="116"/>
      <c r="J33" s="116"/>
      <c r="K33" s="116"/>
      <c r="L33" s="116"/>
      <c r="M33" s="116"/>
      <c r="N33" s="116"/>
      <c r="O33" s="116"/>
    </row>
    <row r="34" spans="1:15" x14ac:dyDescent="0.2">
      <c r="A34" s="117" t="s">
        <v>351</v>
      </c>
      <c r="B34" s="116">
        <f t="shared" si="1"/>
        <v>2238</v>
      </c>
      <c r="C34" s="116">
        <v>2200</v>
      </c>
      <c r="D34" s="116">
        <f>199-196</f>
        <v>3</v>
      </c>
      <c r="E34" s="116">
        <v>35</v>
      </c>
      <c r="F34" s="116">
        <f t="shared" si="0"/>
        <v>2238</v>
      </c>
      <c r="G34" s="121"/>
      <c r="H34" s="116"/>
      <c r="I34" s="116"/>
      <c r="J34" s="116"/>
      <c r="K34" s="116"/>
      <c r="L34" s="116"/>
      <c r="M34" s="116"/>
      <c r="N34" s="116"/>
      <c r="O34" s="116"/>
    </row>
    <row r="35" spans="1:15" x14ac:dyDescent="0.2">
      <c r="A35" s="117" t="s">
        <v>195</v>
      </c>
      <c r="B35" s="116">
        <f t="shared" si="1"/>
        <v>378</v>
      </c>
      <c r="C35" s="116">
        <v>344</v>
      </c>
      <c r="D35" s="116">
        <v>34</v>
      </c>
      <c r="E35" s="116"/>
      <c r="F35" s="116">
        <f t="shared" si="0"/>
        <v>378</v>
      </c>
      <c r="G35" s="121"/>
      <c r="H35" s="116"/>
      <c r="I35" s="116"/>
      <c r="J35" s="116"/>
      <c r="K35" s="116"/>
      <c r="L35" s="116"/>
      <c r="M35" s="116"/>
      <c r="N35" s="116"/>
      <c r="O35" s="116"/>
    </row>
    <row r="36" spans="1:15" x14ac:dyDescent="0.2">
      <c r="A36" s="117" t="s">
        <v>352</v>
      </c>
      <c r="B36" s="116">
        <f t="shared" si="1"/>
        <v>2276</v>
      </c>
      <c r="C36" s="116">
        <f>1650+50+400</f>
        <v>2100</v>
      </c>
      <c r="D36" s="116">
        <f>128+15</f>
        <v>143</v>
      </c>
      <c r="E36" s="116">
        <f>26+7</f>
        <v>33</v>
      </c>
      <c r="F36" s="116">
        <f t="shared" si="0"/>
        <v>2276</v>
      </c>
      <c r="G36" s="121"/>
      <c r="H36" s="116"/>
      <c r="I36" s="116"/>
      <c r="J36" s="116"/>
      <c r="K36" s="116"/>
      <c r="L36" s="116"/>
      <c r="M36" s="116"/>
      <c r="N36" s="116"/>
      <c r="O36" s="116"/>
    </row>
    <row r="37" spans="1:15" x14ac:dyDescent="0.2">
      <c r="A37" s="117" t="s">
        <v>353</v>
      </c>
      <c r="B37" s="116">
        <f t="shared" si="1"/>
        <v>1235</v>
      </c>
      <c r="C37" s="116"/>
      <c r="D37" s="116"/>
      <c r="E37" s="116"/>
      <c r="F37" s="116">
        <f t="shared" si="0"/>
        <v>0</v>
      </c>
      <c r="G37" s="121">
        <v>1235</v>
      </c>
      <c r="H37" s="116"/>
      <c r="I37" s="116"/>
      <c r="J37" s="116">
        <f>G37+H37+I37</f>
        <v>1235</v>
      </c>
      <c r="K37" s="116"/>
      <c r="L37" s="116"/>
      <c r="M37" s="116"/>
      <c r="N37" s="116"/>
      <c r="O37" s="116"/>
    </row>
    <row r="38" spans="1:15" x14ac:dyDescent="0.2">
      <c r="A38" s="117" t="s">
        <v>354</v>
      </c>
      <c r="B38" s="116">
        <f t="shared" si="1"/>
        <v>2735</v>
      </c>
      <c r="C38" s="116">
        <v>2475</v>
      </c>
      <c r="D38" s="116">
        <v>260</v>
      </c>
      <c r="E38" s="116"/>
      <c r="F38" s="116">
        <f t="shared" si="0"/>
        <v>2735</v>
      </c>
      <c r="G38" s="121"/>
      <c r="H38" s="116"/>
      <c r="I38" s="116"/>
      <c r="J38" s="116"/>
      <c r="K38" s="116"/>
      <c r="L38" s="116"/>
      <c r="M38" s="116"/>
      <c r="N38" s="116"/>
      <c r="O38" s="116"/>
    </row>
    <row r="39" spans="1:15" x14ac:dyDescent="0.2">
      <c r="A39" s="117" t="s">
        <v>127</v>
      </c>
      <c r="B39" s="116">
        <f t="shared" si="1"/>
        <v>220</v>
      </c>
      <c r="C39" s="116">
        <v>220</v>
      </c>
      <c r="D39" s="116"/>
      <c r="E39" s="116"/>
      <c r="F39" s="116">
        <f t="shared" si="0"/>
        <v>220</v>
      </c>
      <c r="G39" s="121"/>
      <c r="H39" s="116"/>
      <c r="I39" s="116"/>
      <c r="J39" s="116"/>
      <c r="K39" s="116"/>
      <c r="L39" s="116"/>
      <c r="M39" s="116"/>
      <c r="N39" s="116"/>
      <c r="O39" s="116"/>
    </row>
    <row r="40" spans="1:15" x14ac:dyDescent="0.2">
      <c r="A40" s="117" t="s">
        <v>97</v>
      </c>
      <c r="B40" s="116">
        <f t="shared" si="1"/>
        <v>1588</v>
      </c>
      <c r="C40" s="116">
        <f>300+1100</f>
        <v>1400</v>
      </c>
      <c r="D40" s="116">
        <v>188</v>
      </c>
      <c r="E40" s="116"/>
      <c r="F40" s="116">
        <f t="shared" si="0"/>
        <v>1588</v>
      </c>
      <c r="G40" s="121"/>
      <c r="H40" s="116"/>
      <c r="I40" s="116"/>
      <c r="J40" s="116"/>
      <c r="K40" s="116"/>
      <c r="L40" s="116"/>
      <c r="M40" s="116"/>
      <c r="N40" s="116"/>
      <c r="O40" s="116"/>
    </row>
    <row r="41" spans="1:15" x14ac:dyDescent="0.2">
      <c r="A41" s="117" t="s">
        <v>10</v>
      </c>
      <c r="B41" s="116">
        <f t="shared" si="1"/>
        <v>1970</v>
      </c>
      <c r="C41" s="116">
        <v>1320</v>
      </c>
      <c r="D41" s="116">
        <v>150</v>
      </c>
      <c r="E41" s="116">
        <v>500</v>
      </c>
      <c r="F41" s="116">
        <f t="shared" si="0"/>
        <v>1970</v>
      </c>
      <c r="G41" s="121"/>
      <c r="H41" s="116"/>
      <c r="I41" s="116"/>
      <c r="J41" s="116"/>
      <c r="K41" s="116"/>
      <c r="L41" s="116"/>
      <c r="M41" s="116"/>
      <c r="N41" s="116"/>
      <c r="O41" s="116"/>
    </row>
    <row r="42" spans="1:15" x14ac:dyDescent="0.2">
      <c r="A42" s="117" t="s">
        <v>355</v>
      </c>
      <c r="B42" s="116">
        <f t="shared" si="1"/>
        <v>5000</v>
      </c>
      <c r="C42" s="116"/>
      <c r="D42" s="116"/>
      <c r="E42" s="116"/>
      <c r="F42" s="116">
        <f t="shared" si="0"/>
        <v>0</v>
      </c>
      <c r="G42" s="121"/>
      <c r="H42" s="116"/>
      <c r="I42" s="116"/>
      <c r="J42" s="116"/>
      <c r="K42" s="116"/>
      <c r="L42" s="116"/>
      <c r="M42" s="116"/>
      <c r="N42" s="116"/>
      <c r="O42" s="116">
        <v>5000</v>
      </c>
    </row>
    <row r="43" spans="1:15" x14ac:dyDescent="0.2">
      <c r="A43" s="122" t="s">
        <v>356</v>
      </c>
      <c r="B43" s="116">
        <f t="shared" si="1"/>
        <v>973</v>
      </c>
      <c r="C43" s="116">
        <v>885</v>
      </c>
      <c r="D43" s="116">
        <v>88</v>
      </c>
      <c r="E43" s="116"/>
      <c r="F43" s="116">
        <f t="shared" si="0"/>
        <v>973</v>
      </c>
      <c r="G43" s="121"/>
      <c r="H43" s="116"/>
      <c r="I43" s="116"/>
      <c r="J43" s="116"/>
      <c r="K43" s="116"/>
      <c r="L43" s="116"/>
      <c r="M43" s="116"/>
      <c r="N43" s="116"/>
      <c r="O43" s="116"/>
    </row>
    <row r="44" spans="1:15" x14ac:dyDescent="0.2">
      <c r="A44" s="123" t="s">
        <v>357</v>
      </c>
      <c r="B44" s="116">
        <f t="shared" si="1"/>
        <v>390</v>
      </c>
      <c r="C44" s="116"/>
      <c r="D44" s="116"/>
      <c r="E44" s="116"/>
      <c r="F44" s="116">
        <f t="shared" si="0"/>
        <v>0</v>
      </c>
      <c r="G44" s="121">
        <v>390</v>
      </c>
      <c r="H44" s="116"/>
      <c r="I44" s="116"/>
      <c r="J44" s="116">
        <f t="shared" ref="J44:J49" si="2">G44+H44+I44</f>
        <v>390</v>
      </c>
      <c r="K44" s="116"/>
      <c r="L44" s="116"/>
      <c r="M44" s="116"/>
      <c r="N44" s="116"/>
      <c r="O44" s="116"/>
    </row>
    <row r="45" spans="1:15" x14ac:dyDescent="0.2">
      <c r="A45" s="123" t="s">
        <v>358</v>
      </c>
      <c r="B45" s="116">
        <f t="shared" si="1"/>
        <v>3451</v>
      </c>
      <c r="C45" s="116"/>
      <c r="D45" s="116"/>
      <c r="E45" s="116"/>
      <c r="F45" s="116">
        <f t="shared" si="0"/>
        <v>0</v>
      </c>
      <c r="G45" s="120">
        <f>2000+93+1100</f>
        <v>3193</v>
      </c>
      <c r="H45" s="116">
        <f>0+50+40+87</f>
        <v>177</v>
      </c>
      <c r="I45" s="116">
        <f>100+45-64</f>
        <v>81</v>
      </c>
      <c r="J45" s="116">
        <f t="shared" si="2"/>
        <v>3451</v>
      </c>
      <c r="K45" s="116"/>
      <c r="L45" s="116"/>
      <c r="M45" s="116"/>
      <c r="N45" s="116"/>
      <c r="O45" s="116"/>
    </row>
    <row r="46" spans="1:15" ht="25.5" x14ac:dyDescent="0.2">
      <c r="A46" s="123" t="s">
        <v>359</v>
      </c>
      <c r="B46" s="116">
        <f t="shared" si="1"/>
        <v>738</v>
      </c>
      <c r="C46" s="116"/>
      <c r="D46" s="116"/>
      <c r="E46" s="116"/>
      <c r="F46" s="116">
        <f t="shared" si="0"/>
        <v>0</v>
      </c>
      <c r="G46" s="116">
        <v>700</v>
      </c>
      <c r="H46" s="116">
        <v>38</v>
      </c>
      <c r="I46" s="116"/>
      <c r="J46" s="116">
        <f t="shared" si="2"/>
        <v>738</v>
      </c>
      <c r="K46" s="116"/>
      <c r="L46" s="116"/>
      <c r="M46" s="116"/>
      <c r="N46" s="116"/>
      <c r="O46" s="116"/>
    </row>
    <row r="47" spans="1:15" x14ac:dyDescent="0.2">
      <c r="A47" s="123" t="s">
        <v>360</v>
      </c>
      <c r="B47" s="116">
        <f t="shared" si="1"/>
        <v>0</v>
      </c>
      <c r="C47" s="116"/>
      <c r="D47" s="116"/>
      <c r="E47" s="116"/>
      <c r="F47" s="116">
        <f t="shared" si="0"/>
        <v>0</v>
      </c>
      <c r="G47" s="116">
        <f>106-106</f>
        <v>0</v>
      </c>
      <c r="H47" s="116"/>
      <c r="I47" s="116"/>
      <c r="J47" s="116">
        <f t="shared" si="2"/>
        <v>0</v>
      </c>
      <c r="K47" s="124"/>
      <c r="L47" s="124"/>
      <c r="M47" s="116"/>
      <c r="N47" s="124"/>
      <c r="O47" s="124"/>
    </row>
    <row r="48" spans="1:15" x14ac:dyDescent="0.2">
      <c r="A48" s="123" t="s">
        <v>361</v>
      </c>
      <c r="B48" s="116">
        <f t="shared" si="1"/>
        <v>1169</v>
      </c>
      <c r="C48" s="116">
        <f>913+25</f>
        <v>938</v>
      </c>
      <c r="D48" s="116">
        <f>87+4</f>
        <v>91</v>
      </c>
      <c r="E48" s="116"/>
      <c r="F48" s="116">
        <f t="shared" si="0"/>
        <v>1029</v>
      </c>
      <c r="G48" s="116">
        <v>134</v>
      </c>
      <c r="H48" s="116">
        <v>6</v>
      </c>
      <c r="I48" s="116"/>
      <c r="J48" s="116">
        <f t="shared" si="2"/>
        <v>140</v>
      </c>
      <c r="K48" s="124"/>
      <c r="L48" s="124"/>
      <c r="M48" s="116"/>
      <c r="N48" s="124"/>
      <c r="O48" s="124"/>
    </row>
    <row r="49" spans="1:15" x14ac:dyDescent="0.2">
      <c r="A49" s="123" t="s">
        <v>362</v>
      </c>
      <c r="B49" s="116">
        <f t="shared" si="1"/>
        <v>725</v>
      </c>
      <c r="C49" s="116"/>
      <c r="D49" s="116"/>
      <c r="E49" s="116"/>
      <c r="F49" s="115">
        <f t="shared" si="0"/>
        <v>0</v>
      </c>
      <c r="G49" s="116">
        <f>625+100</f>
        <v>725</v>
      </c>
      <c r="H49" s="116"/>
      <c r="I49" s="116"/>
      <c r="J49" s="116">
        <f t="shared" si="2"/>
        <v>725</v>
      </c>
      <c r="K49" s="124"/>
      <c r="L49" s="124"/>
      <c r="M49" s="116"/>
      <c r="N49" s="124"/>
      <c r="O49" s="124"/>
    </row>
    <row r="50" spans="1:15" s="126" customFormat="1" x14ac:dyDescent="0.2">
      <c r="A50" s="125" t="s">
        <v>155</v>
      </c>
      <c r="B50" s="124">
        <f t="shared" ref="B50:O50" si="3">SUM(B5:B49)</f>
        <v>389309</v>
      </c>
      <c r="C50" s="124">
        <f t="shared" si="3"/>
        <v>96973</v>
      </c>
      <c r="D50" s="124">
        <f t="shared" si="3"/>
        <v>5369</v>
      </c>
      <c r="E50" s="124">
        <f t="shared" si="3"/>
        <v>12042</v>
      </c>
      <c r="F50" s="124">
        <f t="shared" si="3"/>
        <v>114384</v>
      </c>
      <c r="G50" s="124">
        <f t="shared" si="3"/>
        <v>30470</v>
      </c>
      <c r="H50" s="124">
        <f t="shared" si="3"/>
        <v>1074</v>
      </c>
      <c r="I50" s="124">
        <f t="shared" si="3"/>
        <v>1331</v>
      </c>
      <c r="J50" s="124">
        <f t="shared" si="3"/>
        <v>32875</v>
      </c>
      <c r="K50" s="124">
        <f t="shared" si="3"/>
        <v>13000</v>
      </c>
      <c r="L50" s="124">
        <f t="shared" si="3"/>
        <v>1050</v>
      </c>
      <c r="M50" s="124">
        <f t="shared" si="3"/>
        <v>14050</v>
      </c>
      <c r="N50" s="124">
        <f t="shared" si="3"/>
        <v>223000</v>
      </c>
      <c r="O50" s="124">
        <f t="shared" si="3"/>
        <v>5000</v>
      </c>
    </row>
    <row r="54" spans="1:15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</sheetData>
  <mergeCells count="8">
    <mergeCell ref="A1:AM1"/>
    <mergeCell ref="A3:A4"/>
    <mergeCell ref="B3:B4"/>
    <mergeCell ref="C3:F3"/>
    <mergeCell ref="G3:J3"/>
    <mergeCell ref="K3:M3"/>
    <mergeCell ref="N3:N4"/>
    <mergeCell ref="O3:O4"/>
  </mergeCells>
  <pageMargins left="0.39370078740157483" right="0.39370078740157483" top="0" bottom="0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Normal="100" workbookViewId="0">
      <selection activeCell="D33" sqref="D33"/>
    </sheetView>
  </sheetViews>
  <sheetFormatPr defaultRowHeight="12.75" x14ac:dyDescent="0.2"/>
  <cols>
    <col min="1" max="1" width="35.140625" style="18" customWidth="1"/>
    <col min="2" max="2" width="11.5703125" style="18" customWidth="1"/>
    <col min="3" max="3" width="10.85546875" style="18" customWidth="1"/>
    <col min="4" max="4" width="11.7109375" style="18" customWidth="1"/>
    <col min="5" max="256" width="9.140625" style="18"/>
    <col min="257" max="257" width="35.140625" style="18" customWidth="1"/>
    <col min="258" max="258" width="11.5703125" style="18" customWidth="1"/>
    <col min="259" max="259" width="10.85546875" style="18" customWidth="1"/>
    <col min="260" max="260" width="11.7109375" style="18" customWidth="1"/>
    <col min="261" max="512" width="9.140625" style="18"/>
    <col min="513" max="513" width="35.140625" style="18" customWidth="1"/>
    <col min="514" max="514" width="11.5703125" style="18" customWidth="1"/>
    <col min="515" max="515" width="10.85546875" style="18" customWidth="1"/>
    <col min="516" max="516" width="11.7109375" style="18" customWidth="1"/>
    <col min="517" max="768" width="9.140625" style="18"/>
    <col min="769" max="769" width="35.140625" style="18" customWidth="1"/>
    <col min="770" max="770" width="11.5703125" style="18" customWidth="1"/>
    <col min="771" max="771" width="10.85546875" style="18" customWidth="1"/>
    <col min="772" max="772" width="11.7109375" style="18" customWidth="1"/>
    <col min="773" max="1024" width="9.140625" style="18"/>
    <col min="1025" max="1025" width="35.140625" style="18" customWidth="1"/>
    <col min="1026" max="1026" width="11.5703125" style="18" customWidth="1"/>
    <col min="1027" max="1027" width="10.85546875" style="18" customWidth="1"/>
    <col min="1028" max="1028" width="11.7109375" style="18" customWidth="1"/>
    <col min="1029" max="1280" width="9.140625" style="18"/>
    <col min="1281" max="1281" width="35.140625" style="18" customWidth="1"/>
    <col min="1282" max="1282" width="11.5703125" style="18" customWidth="1"/>
    <col min="1283" max="1283" width="10.85546875" style="18" customWidth="1"/>
    <col min="1284" max="1284" width="11.7109375" style="18" customWidth="1"/>
    <col min="1285" max="1536" width="9.140625" style="18"/>
    <col min="1537" max="1537" width="35.140625" style="18" customWidth="1"/>
    <col min="1538" max="1538" width="11.5703125" style="18" customWidth="1"/>
    <col min="1539" max="1539" width="10.85546875" style="18" customWidth="1"/>
    <col min="1540" max="1540" width="11.7109375" style="18" customWidth="1"/>
    <col min="1541" max="1792" width="9.140625" style="18"/>
    <col min="1793" max="1793" width="35.140625" style="18" customWidth="1"/>
    <col min="1794" max="1794" width="11.5703125" style="18" customWidth="1"/>
    <col min="1795" max="1795" width="10.85546875" style="18" customWidth="1"/>
    <col min="1796" max="1796" width="11.7109375" style="18" customWidth="1"/>
    <col min="1797" max="2048" width="9.140625" style="18"/>
    <col min="2049" max="2049" width="35.140625" style="18" customWidth="1"/>
    <col min="2050" max="2050" width="11.5703125" style="18" customWidth="1"/>
    <col min="2051" max="2051" width="10.85546875" style="18" customWidth="1"/>
    <col min="2052" max="2052" width="11.7109375" style="18" customWidth="1"/>
    <col min="2053" max="2304" width="9.140625" style="18"/>
    <col min="2305" max="2305" width="35.140625" style="18" customWidth="1"/>
    <col min="2306" max="2306" width="11.5703125" style="18" customWidth="1"/>
    <col min="2307" max="2307" width="10.85546875" style="18" customWidth="1"/>
    <col min="2308" max="2308" width="11.7109375" style="18" customWidth="1"/>
    <col min="2309" max="2560" width="9.140625" style="18"/>
    <col min="2561" max="2561" width="35.140625" style="18" customWidth="1"/>
    <col min="2562" max="2562" width="11.5703125" style="18" customWidth="1"/>
    <col min="2563" max="2563" width="10.85546875" style="18" customWidth="1"/>
    <col min="2564" max="2564" width="11.7109375" style="18" customWidth="1"/>
    <col min="2565" max="2816" width="9.140625" style="18"/>
    <col min="2817" max="2817" width="35.140625" style="18" customWidth="1"/>
    <col min="2818" max="2818" width="11.5703125" style="18" customWidth="1"/>
    <col min="2819" max="2819" width="10.85546875" style="18" customWidth="1"/>
    <col min="2820" max="2820" width="11.7109375" style="18" customWidth="1"/>
    <col min="2821" max="3072" width="9.140625" style="18"/>
    <col min="3073" max="3073" width="35.140625" style="18" customWidth="1"/>
    <col min="3074" max="3074" width="11.5703125" style="18" customWidth="1"/>
    <col min="3075" max="3075" width="10.85546875" style="18" customWidth="1"/>
    <col min="3076" max="3076" width="11.7109375" style="18" customWidth="1"/>
    <col min="3077" max="3328" width="9.140625" style="18"/>
    <col min="3329" max="3329" width="35.140625" style="18" customWidth="1"/>
    <col min="3330" max="3330" width="11.5703125" style="18" customWidth="1"/>
    <col min="3331" max="3331" width="10.85546875" style="18" customWidth="1"/>
    <col min="3332" max="3332" width="11.7109375" style="18" customWidth="1"/>
    <col min="3333" max="3584" width="9.140625" style="18"/>
    <col min="3585" max="3585" width="35.140625" style="18" customWidth="1"/>
    <col min="3586" max="3586" width="11.5703125" style="18" customWidth="1"/>
    <col min="3587" max="3587" width="10.85546875" style="18" customWidth="1"/>
    <col min="3588" max="3588" width="11.7109375" style="18" customWidth="1"/>
    <col min="3589" max="3840" width="9.140625" style="18"/>
    <col min="3841" max="3841" width="35.140625" style="18" customWidth="1"/>
    <col min="3842" max="3842" width="11.5703125" style="18" customWidth="1"/>
    <col min="3843" max="3843" width="10.85546875" style="18" customWidth="1"/>
    <col min="3844" max="3844" width="11.7109375" style="18" customWidth="1"/>
    <col min="3845" max="4096" width="9.140625" style="18"/>
    <col min="4097" max="4097" width="35.140625" style="18" customWidth="1"/>
    <col min="4098" max="4098" width="11.5703125" style="18" customWidth="1"/>
    <col min="4099" max="4099" width="10.85546875" style="18" customWidth="1"/>
    <col min="4100" max="4100" width="11.7109375" style="18" customWidth="1"/>
    <col min="4101" max="4352" width="9.140625" style="18"/>
    <col min="4353" max="4353" width="35.140625" style="18" customWidth="1"/>
    <col min="4354" max="4354" width="11.5703125" style="18" customWidth="1"/>
    <col min="4355" max="4355" width="10.85546875" style="18" customWidth="1"/>
    <col min="4356" max="4356" width="11.7109375" style="18" customWidth="1"/>
    <col min="4357" max="4608" width="9.140625" style="18"/>
    <col min="4609" max="4609" width="35.140625" style="18" customWidth="1"/>
    <col min="4610" max="4610" width="11.5703125" style="18" customWidth="1"/>
    <col min="4611" max="4611" width="10.85546875" style="18" customWidth="1"/>
    <col min="4612" max="4612" width="11.7109375" style="18" customWidth="1"/>
    <col min="4613" max="4864" width="9.140625" style="18"/>
    <col min="4865" max="4865" width="35.140625" style="18" customWidth="1"/>
    <col min="4866" max="4866" width="11.5703125" style="18" customWidth="1"/>
    <col min="4867" max="4867" width="10.85546875" style="18" customWidth="1"/>
    <col min="4868" max="4868" width="11.7109375" style="18" customWidth="1"/>
    <col min="4869" max="5120" width="9.140625" style="18"/>
    <col min="5121" max="5121" width="35.140625" style="18" customWidth="1"/>
    <col min="5122" max="5122" width="11.5703125" style="18" customWidth="1"/>
    <col min="5123" max="5123" width="10.85546875" style="18" customWidth="1"/>
    <col min="5124" max="5124" width="11.7109375" style="18" customWidth="1"/>
    <col min="5125" max="5376" width="9.140625" style="18"/>
    <col min="5377" max="5377" width="35.140625" style="18" customWidth="1"/>
    <col min="5378" max="5378" width="11.5703125" style="18" customWidth="1"/>
    <col min="5379" max="5379" width="10.85546875" style="18" customWidth="1"/>
    <col min="5380" max="5380" width="11.7109375" style="18" customWidth="1"/>
    <col min="5381" max="5632" width="9.140625" style="18"/>
    <col min="5633" max="5633" width="35.140625" style="18" customWidth="1"/>
    <col min="5634" max="5634" width="11.5703125" style="18" customWidth="1"/>
    <col min="5635" max="5635" width="10.85546875" style="18" customWidth="1"/>
    <col min="5636" max="5636" width="11.7109375" style="18" customWidth="1"/>
    <col min="5637" max="5888" width="9.140625" style="18"/>
    <col min="5889" max="5889" width="35.140625" style="18" customWidth="1"/>
    <col min="5890" max="5890" width="11.5703125" style="18" customWidth="1"/>
    <col min="5891" max="5891" width="10.85546875" style="18" customWidth="1"/>
    <col min="5892" max="5892" width="11.7109375" style="18" customWidth="1"/>
    <col min="5893" max="6144" width="9.140625" style="18"/>
    <col min="6145" max="6145" width="35.140625" style="18" customWidth="1"/>
    <col min="6146" max="6146" width="11.5703125" style="18" customWidth="1"/>
    <col min="6147" max="6147" width="10.85546875" style="18" customWidth="1"/>
    <col min="6148" max="6148" width="11.7109375" style="18" customWidth="1"/>
    <col min="6149" max="6400" width="9.140625" style="18"/>
    <col min="6401" max="6401" width="35.140625" style="18" customWidth="1"/>
    <col min="6402" max="6402" width="11.5703125" style="18" customWidth="1"/>
    <col min="6403" max="6403" width="10.85546875" style="18" customWidth="1"/>
    <col min="6404" max="6404" width="11.7109375" style="18" customWidth="1"/>
    <col min="6405" max="6656" width="9.140625" style="18"/>
    <col min="6657" max="6657" width="35.140625" style="18" customWidth="1"/>
    <col min="6658" max="6658" width="11.5703125" style="18" customWidth="1"/>
    <col min="6659" max="6659" width="10.85546875" style="18" customWidth="1"/>
    <col min="6660" max="6660" width="11.7109375" style="18" customWidth="1"/>
    <col min="6661" max="6912" width="9.140625" style="18"/>
    <col min="6913" max="6913" width="35.140625" style="18" customWidth="1"/>
    <col min="6914" max="6914" width="11.5703125" style="18" customWidth="1"/>
    <col min="6915" max="6915" width="10.85546875" style="18" customWidth="1"/>
    <col min="6916" max="6916" width="11.7109375" style="18" customWidth="1"/>
    <col min="6917" max="7168" width="9.140625" style="18"/>
    <col min="7169" max="7169" width="35.140625" style="18" customWidth="1"/>
    <col min="7170" max="7170" width="11.5703125" style="18" customWidth="1"/>
    <col min="7171" max="7171" width="10.85546875" style="18" customWidth="1"/>
    <col min="7172" max="7172" width="11.7109375" style="18" customWidth="1"/>
    <col min="7173" max="7424" width="9.140625" style="18"/>
    <col min="7425" max="7425" width="35.140625" style="18" customWidth="1"/>
    <col min="7426" max="7426" width="11.5703125" style="18" customWidth="1"/>
    <col min="7427" max="7427" width="10.85546875" style="18" customWidth="1"/>
    <col min="7428" max="7428" width="11.7109375" style="18" customWidth="1"/>
    <col min="7429" max="7680" width="9.140625" style="18"/>
    <col min="7681" max="7681" width="35.140625" style="18" customWidth="1"/>
    <col min="7682" max="7682" width="11.5703125" style="18" customWidth="1"/>
    <col min="7683" max="7683" width="10.85546875" style="18" customWidth="1"/>
    <col min="7684" max="7684" width="11.7109375" style="18" customWidth="1"/>
    <col min="7685" max="7936" width="9.140625" style="18"/>
    <col min="7937" max="7937" width="35.140625" style="18" customWidth="1"/>
    <col min="7938" max="7938" width="11.5703125" style="18" customWidth="1"/>
    <col min="7939" max="7939" width="10.85546875" style="18" customWidth="1"/>
    <col min="7940" max="7940" width="11.7109375" style="18" customWidth="1"/>
    <col min="7941" max="8192" width="9.140625" style="18"/>
    <col min="8193" max="8193" width="35.140625" style="18" customWidth="1"/>
    <col min="8194" max="8194" width="11.5703125" style="18" customWidth="1"/>
    <col min="8195" max="8195" width="10.85546875" style="18" customWidth="1"/>
    <col min="8196" max="8196" width="11.7109375" style="18" customWidth="1"/>
    <col min="8197" max="8448" width="9.140625" style="18"/>
    <col min="8449" max="8449" width="35.140625" style="18" customWidth="1"/>
    <col min="8450" max="8450" width="11.5703125" style="18" customWidth="1"/>
    <col min="8451" max="8451" width="10.85546875" style="18" customWidth="1"/>
    <col min="8452" max="8452" width="11.7109375" style="18" customWidth="1"/>
    <col min="8453" max="8704" width="9.140625" style="18"/>
    <col min="8705" max="8705" width="35.140625" style="18" customWidth="1"/>
    <col min="8706" max="8706" width="11.5703125" style="18" customWidth="1"/>
    <col min="8707" max="8707" width="10.85546875" style="18" customWidth="1"/>
    <col min="8708" max="8708" width="11.7109375" style="18" customWidth="1"/>
    <col min="8709" max="8960" width="9.140625" style="18"/>
    <col min="8961" max="8961" width="35.140625" style="18" customWidth="1"/>
    <col min="8962" max="8962" width="11.5703125" style="18" customWidth="1"/>
    <col min="8963" max="8963" width="10.85546875" style="18" customWidth="1"/>
    <col min="8964" max="8964" width="11.7109375" style="18" customWidth="1"/>
    <col min="8965" max="9216" width="9.140625" style="18"/>
    <col min="9217" max="9217" width="35.140625" style="18" customWidth="1"/>
    <col min="9218" max="9218" width="11.5703125" style="18" customWidth="1"/>
    <col min="9219" max="9219" width="10.85546875" style="18" customWidth="1"/>
    <col min="9220" max="9220" width="11.7109375" style="18" customWidth="1"/>
    <col min="9221" max="9472" width="9.140625" style="18"/>
    <col min="9473" max="9473" width="35.140625" style="18" customWidth="1"/>
    <col min="9474" max="9474" width="11.5703125" style="18" customWidth="1"/>
    <col min="9475" max="9475" width="10.85546875" style="18" customWidth="1"/>
    <col min="9476" max="9476" width="11.7109375" style="18" customWidth="1"/>
    <col min="9477" max="9728" width="9.140625" style="18"/>
    <col min="9729" max="9729" width="35.140625" style="18" customWidth="1"/>
    <col min="9730" max="9730" width="11.5703125" style="18" customWidth="1"/>
    <col min="9731" max="9731" width="10.85546875" style="18" customWidth="1"/>
    <col min="9732" max="9732" width="11.7109375" style="18" customWidth="1"/>
    <col min="9733" max="9984" width="9.140625" style="18"/>
    <col min="9985" max="9985" width="35.140625" style="18" customWidth="1"/>
    <col min="9986" max="9986" width="11.5703125" style="18" customWidth="1"/>
    <col min="9987" max="9987" width="10.85546875" style="18" customWidth="1"/>
    <col min="9988" max="9988" width="11.7109375" style="18" customWidth="1"/>
    <col min="9989" max="10240" width="9.140625" style="18"/>
    <col min="10241" max="10241" width="35.140625" style="18" customWidth="1"/>
    <col min="10242" max="10242" width="11.5703125" style="18" customWidth="1"/>
    <col min="10243" max="10243" width="10.85546875" style="18" customWidth="1"/>
    <col min="10244" max="10244" width="11.7109375" style="18" customWidth="1"/>
    <col min="10245" max="10496" width="9.140625" style="18"/>
    <col min="10497" max="10497" width="35.140625" style="18" customWidth="1"/>
    <col min="10498" max="10498" width="11.5703125" style="18" customWidth="1"/>
    <col min="10499" max="10499" width="10.85546875" style="18" customWidth="1"/>
    <col min="10500" max="10500" width="11.7109375" style="18" customWidth="1"/>
    <col min="10501" max="10752" width="9.140625" style="18"/>
    <col min="10753" max="10753" width="35.140625" style="18" customWidth="1"/>
    <col min="10754" max="10754" width="11.5703125" style="18" customWidth="1"/>
    <col min="10755" max="10755" width="10.85546875" style="18" customWidth="1"/>
    <col min="10756" max="10756" width="11.7109375" style="18" customWidth="1"/>
    <col min="10757" max="11008" width="9.140625" style="18"/>
    <col min="11009" max="11009" width="35.140625" style="18" customWidth="1"/>
    <col min="11010" max="11010" width="11.5703125" style="18" customWidth="1"/>
    <col min="11011" max="11011" width="10.85546875" style="18" customWidth="1"/>
    <col min="11012" max="11012" width="11.7109375" style="18" customWidth="1"/>
    <col min="11013" max="11264" width="9.140625" style="18"/>
    <col min="11265" max="11265" width="35.140625" style="18" customWidth="1"/>
    <col min="11266" max="11266" width="11.5703125" style="18" customWidth="1"/>
    <col min="11267" max="11267" width="10.85546875" style="18" customWidth="1"/>
    <col min="11268" max="11268" width="11.7109375" style="18" customWidth="1"/>
    <col min="11269" max="11520" width="9.140625" style="18"/>
    <col min="11521" max="11521" width="35.140625" style="18" customWidth="1"/>
    <col min="11522" max="11522" width="11.5703125" style="18" customWidth="1"/>
    <col min="11523" max="11523" width="10.85546875" style="18" customWidth="1"/>
    <col min="11524" max="11524" width="11.7109375" style="18" customWidth="1"/>
    <col min="11525" max="11776" width="9.140625" style="18"/>
    <col min="11777" max="11777" width="35.140625" style="18" customWidth="1"/>
    <col min="11778" max="11778" width="11.5703125" style="18" customWidth="1"/>
    <col min="11779" max="11779" width="10.85546875" style="18" customWidth="1"/>
    <col min="11780" max="11780" width="11.7109375" style="18" customWidth="1"/>
    <col min="11781" max="12032" width="9.140625" style="18"/>
    <col min="12033" max="12033" width="35.140625" style="18" customWidth="1"/>
    <col min="12034" max="12034" width="11.5703125" style="18" customWidth="1"/>
    <col min="12035" max="12035" width="10.85546875" style="18" customWidth="1"/>
    <col min="12036" max="12036" width="11.7109375" style="18" customWidth="1"/>
    <col min="12037" max="12288" width="9.140625" style="18"/>
    <col min="12289" max="12289" width="35.140625" style="18" customWidth="1"/>
    <col min="12290" max="12290" width="11.5703125" style="18" customWidth="1"/>
    <col min="12291" max="12291" width="10.85546875" style="18" customWidth="1"/>
    <col min="12292" max="12292" width="11.7109375" style="18" customWidth="1"/>
    <col min="12293" max="12544" width="9.140625" style="18"/>
    <col min="12545" max="12545" width="35.140625" style="18" customWidth="1"/>
    <col min="12546" max="12546" width="11.5703125" style="18" customWidth="1"/>
    <col min="12547" max="12547" width="10.85546875" style="18" customWidth="1"/>
    <col min="12548" max="12548" width="11.7109375" style="18" customWidth="1"/>
    <col min="12549" max="12800" width="9.140625" style="18"/>
    <col min="12801" max="12801" width="35.140625" style="18" customWidth="1"/>
    <col min="12802" max="12802" width="11.5703125" style="18" customWidth="1"/>
    <col min="12803" max="12803" width="10.85546875" style="18" customWidth="1"/>
    <col min="12804" max="12804" width="11.7109375" style="18" customWidth="1"/>
    <col min="12805" max="13056" width="9.140625" style="18"/>
    <col min="13057" max="13057" width="35.140625" style="18" customWidth="1"/>
    <col min="13058" max="13058" width="11.5703125" style="18" customWidth="1"/>
    <col min="13059" max="13059" width="10.85546875" style="18" customWidth="1"/>
    <col min="13060" max="13060" width="11.7109375" style="18" customWidth="1"/>
    <col min="13061" max="13312" width="9.140625" style="18"/>
    <col min="13313" max="13313" width="35.140625" style="18" customWidth="1"/>
    <col min="13314" max="13314" width="11.5703125" style="18" customWidth="1"/>
    <col min="13315" max="13315" width="10.85546875" style="18" customWidth="1"/>
    <col min="13316" max="13316" width="11.7109375" style="18" customWidth="1"/>
    <col min="13317" max="13568" width="9.140625" style="18"/>
    <col min="13569" max="13569" width="35.140625" style="18" customWidth="1"/>
    <col min="13570" max="13570" width="11.5703125" style="18" customWidth="1"/>
    <col min="13571" max="13571" width="10.85546875" style="18" customWidth="1"/>
    <col min="13572" max="13572" width="11.7109375" style="18" customWidth="1"/>
    <col min="13573" max="13824" width="9.140625" style="18"/>
    <col min="13825" max="13825" width="35.140625" style="18" customWidth="1"/>
    <col min="13826" max="13826" width="11.5703125" style="18" customWidth="1"/>
    <col min="13827" max="13827" width="10.85546875" style="18" customWidth="1"/>
    <col min="13828" max="13828" width="11.7109375" style="18" customWidth="1"/>
    <col min="13829" max="14080" width="9.140625" style="18"/>
    <col min="14081" max="14081" width="35.140625" style="18" customWidth="1"/>
    <col min="14082" max="14082" width="11.5703125" style="18" customWidth="1"/>
    <col min="14083" max="14083" width="10.85546875" style="18" customWidth="1"/>
    <col min="14084" max="14084" width="11.7109375" style="18" customWidth="1"/>
    <col min="14085" max="14336" width="9.140625" style="18"/>
    <col min="14337" max="14337" width="35.140625" style="18" customWidth="1"/>
    <col min="14338" max="14338" width="11.5703125" style="18" customWidth="1"/>
    <col min="14339" max="14339" width="10.85546875" style="18" customWidth="1"/>
    <col min="14340" max="14340" width="11.7109375" style="18" customWidth="1"/>
    <col min="14341" max="14592" width="9.140625" style="18"/>
    <col min="14593" max="14593" width="35.140625" style="18" customWidth="1"/>
    <col min="14594" max="14594" width="11.5703125" style="18" customWidth="1"/>
    <col min="14595" max="14595" width="10.85546875" style="18" customWidth="1"/>
    <col min="14596" max="14596" width="11.7109375" style="18" customWidth="1"/>
    <col min="14597" max="14848" width="9.140625" style="18"/>
    <col min="14849" max="14849" width="35.140625" style="18" customWidth="1"/>
    <col min="14850" max="14850" width="11.5703125" style="18" customWidth="1"/>
    <col min="14851" max="14851" width="10.85546875" style="18" customWidth="1"/>
    <col min="14852" max="14852" width="11.7109375" style="18" customWidth="1"/>
    <col min="14853" max="15104" width="9.140625" style="18"/>
    <col min="15105" max="15105" width="35.140625" style="18" customWidth="1"/>
    <col min="15106" max="15106" width="11.5703125" style="18" customWidth="1"/>
    <col min="15107" max="15107" width="10.85546875" style="18" customWidth="1"/>
    <col min="15108" max="15108" width="11.7109375" style="18" customWidth="1"/>
    <col min="15109" max="15360" width="9.140625" style="18"/>
    <col min="15361" max="15361" width="35.140625" style="18" customWidth="1"/>
    <col min="15362" max="15362" width="11.5703125" style="18" customWidth="1"/>
    <col min="15363" max="15363" width="10.85546875" style="18" customWidth="1"/>
    <col min="15364" max="15364" width="11.7109375" style="18" customWidth="1"/>
    <col min="15365" max="15616" width="9.140625" style="18"/>
    <col min="15617" max="15617" width="35.140625" style="18" customWidth="1"/>
    <col min="15618" max="15618" width="11.5703125" style="18" customWidth="1"/>
    <col min="15619" max="15619" width="10.85546875" style="18" customWidth="1"/>
    <col min="15620" max="15620" width="11.7109375" style="18" customWidth="1"/>
    <col min="15621" max="15872" width="9.140625" style="18"/>
    <col min="15873" max="15873" width="35.140625" style="18" customWidth="1"/>
    <col min="15874" max="15874" width="11.5703125" style="18" customWidth="1"/>
    <col min="15875" max="15875" width="10.85546875" style="18" customWidth="1"/>
    <col min="15876" max="15876" width="11.7109375" style="18" customWidth="1"/>
    <col min="15877" max="16128" width="9.140625" style="18"/>
    <col min="16129" max="16129" width="35.140625" style="18" customWidth="1"/>
    <col min="16130" max="16130" width="11.5703125" style="18" customWidth="1"/>
    <col min="16131" max="16131" width="10.85546875" style="18" customWidth="1"/>
    <col min="16132" max="16132" width="11.7109375" style="18" customWidth="1"/>
    <col min="16133" max="16384" width="9.140625" style="18"/>
  </cols>
  <sheetData>
    <row r="1" spans="1:25" ht="36" customHeight="1" x14ac:dyDescent="0.2">
      <c r="A1" s="198" t="s">
        <v>363</v>
      </c>
      <c r="B1" s="215"/>
      <c r="C1" s="215"/>
      <c r="D1" s="215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2.75" customHeight="1" x14ac:dyDescent="0.2">
      <c r="A2" s="112"/>
      <c r="B2" s="112"/>
      <c r="C2" s="112"/>
      <c r="D2" s="112" t="s">
        <v>393</v>
      </c>
    </row>
    <row r="3" spans="1:25" ht="35.25" customHeight="1" x14ac:dyDescent="0.2">
      <c r="A3" s="211" t="s">
        <v>327</v>
      </c>
      <c r="B3" s="213" t="s">
        <v>364</v>
      </c>
      <c r="C3" s="216"/>
      <c r="D3" s="216"/>
    </row>
    <row r="4" spans="1:25" ht="16.5" customHeight="1" x14ac:dyDescent="0.2">
      <c r="A4" s="211"/>
      <c r="B4" s="113" t="s">
        <v>365</v>
      </c>
      <c r="C4" s="113" t="s">
        <v>245</v>
      </c>
      <c r="D4" s="113" t="s">
        <v>33</v>
      </c>
    </row>
    <row r="5" spans="1:25" s="128" customFormat="1" x14ac:dyDescent="0.2">
      <c r="A5" s="123" t="s">
        <v>358</v>
      </c>
      <c r="B5" s="116">
        <v>3340</v>
      </c>
      <c r="C5" s="116">
        <v>2340</v>
      </c>
      <c r="D5" s="116">
        <f t="shared" ref="D5:D23" si="0">B5+C5</f>
        <v>5680</v>
      </c>
    </row>
    <row r="6" spans="1:25" x14ac:dyDescent="0.2">
      <c r="A6" s="117" t="s">
        <v>366</v>
      </c>
      <c r="B6" s="116">
        <v>2097</v>
      </c>
      <c r="C6" s="116">
        <v>1749</v>
      </c>
      <c r="D6" s="116">
        <f t="shared" si="0"/>
        <v>3846</v>
      </c>
    </row>
    <row r="7" spans="1:25" ht="14.25" customHeight="1" x14ac:dyDescent="0.2">
      <c r="A7" s="117" t="s">
        <v>63</v>
      </c>
      <c r="B7" s="116">
        <v>916</v>
      </c>
      <c r="C7" s="116">
        <v>754</v>
      </c>
      <c r="D7" s="116">
        <f t="shared" si="0"/>
        <v>1670</v>
      </c>
    </row>
    <row r="8" spans="1:25" x14ac:dyDescent="0.2">
      <c r="A8" s="117" t="s">
        <v>85</v>
      </c>
      <c r="B8" s="116">
        <v>700</v>
      </c>
      <c r="C8" s="116">
        <v>751</v>
      </c>
      <c r="D8" s="116">
        <f t="shared" si="0"/>
        <v>1451</v>
      </c>
    </row>
    <row r="9" spans="1:25" x14ac:dyDescent="0.2">
      <c r="A9" s="119" t="s">
        <v>113</v>
      </c>
      <c r="B9" s="116">
        <v>834</v>
      </c>
      <c r="C9" s="116">
        <v>800</v>
      </c>
      <c r="D9" s="116">
        <f t="shared" si="0"/>
        <v>1634</v>
      </c>
    </row>
    <row r="10" spans="1:25" ht="17.25" customHeight="1" x14ac:dyDescent="0.2">
      <c r="A10" s="117" t="s">
        <v>367</v>
      </c>
      <c r="B10" s="116">
        <v>693</v>
      </c>
      <c r="C10" s="116">
        <v>480</v>
      </c>
      <c r="D10" s="116">
        <f t="shared" si="0"/>
        <v>1173</v>
      </c>
    </row>
    <row r="11" spans="1:25" x14ac:dyDescent="0.2">
      <c r="A11" s="117" t="s">
        <v>70</v>
      </c>
      <c r="B11" s="116">
        <v>1230</v>
      </c>
      <c r="C11" s="116">
        <v>1230</v>
      </c>
      <c r="D11" s="116">
        <f t="shared" si="0"/>
        <v>2460</v>
      </c>
    </row>
    <row r="12" spans="1:25" x14ac:dyDescent="0.2">
      <c r="A12" s="117" t="s">
        <v>8</v>
      </c>
      <c r="B12" s="116">
        <v>420</v>
      </c>
      <c r="C12" s="116">
        <v>540</v>
      </c>
      <c r="D12" s="116">
        <f t="shared" si="0"/>
        <v>960</v>
      </c>
    </row>
    <row r="13" spans="1:25" x14ac:dyDescent="0.2">
      <c r="A13" s="117" t="s">
        <v>68</v>
      </c>
      <c r="B13" s="116">
        <v>484</v>
      </c>
      <c r="C13" s="116">
        <v>463</v>
      </c>
      <c r="D13" s="116">
        <f t="shared" si="0"/>
        <v>947</v>
      </c>
    </row>
    <row r="14" spans="1:25" x14ac:dyDescent="0.2">
      <c r="A14" s="117" t="s">
        <v>368</v>
      </c>
      <c r="B14" s="116">
        <v>1302</v>
      </c>
      <c r="C14" s="116">
        <v>463</v>
      </c>
      <c r="D14" s="116">
        <f t="shared" si="0"/>
        <v>1765</v>
      </c>
    </row>
    <row r="15" spans="1:25" x14ac:dyDescent="0.2">
      <c r="A15" s="114" t="s">
        <v>112</v>
      </c>
      <c r="B15" s="116">
        <v>535</v>
      </c>
      <c r="C15" s="116">
        <v>609</v>
      </c>
      <c r="D15" s="116">
        <f t="shared" si="0"/>
        <v>1144</v>
      </c>
    </row>
    <row r="16" spans="1:25" x14ac:dyDescent="0.2">
      <c r="A16" s="117" t="s">
        <v>205</v>
      </c>
      <c r="B16" s="116">
        <v>580</v>
      </c>
      <c r="C16" s="116">
        <v>586</v>
      </c>
      <c r="D16" s="116">
        <f t="shared" si="0"/>
        <v>1166</v>
      </c>
    </row>
    <row r="17" spans="1:4" x14ac:dyDescent="0.2">
      <c r="A17" s="117" t="s">
        <v>344</v>
      </c>
      <c r="B17" s="116">
        <v>475</v>
      </c>
      <c r="C17" s="116">
        <v>475</v>
      </c>
      <c r="D17" s="116">
        <f t="shared" si="0"/>
        <v>950</v>
      </c>
    </row>
    <row r="18" spans="1:4" x14ac:dyDescent="0.2">
      <c r="A18" s="117" t="s">
        <v>118</v>
      </c>
      <c r="B18" s="116">
        <v>380</v>
      </c>
      <c r="C18" s="116">
        <v>266</v>
      </c>
      <c r="D18" s="116">
        <f t="shared" si="0"/>
        <v>646</v>
      </c>
    </row>
    <row r="19" spans="1:4" x14ac:dyDescent="0.2">
      <c r="A19" s="117" t="s">
        <v>209</v>
      </c>
      <c r="B19" s="116">
        <v>851</v>
      </c>
      <c r="C19" s="116">
        <v>768</v>
      </c>
      <c r="D19" s="116">
        <f t="shared" si="0"/>
        <v>1619</v>
      </c>
    </row>
    <row r="20" spans="1:4" x14ac:dyDescent="0.2">
      <c r="A20" s="117" t="s">
        <v>206</v>
      </c>
      <c r="B20" s="116">
        <v>257</v>
      </c>
      <c r="C20" s="116">
        <v>191</v>
      </c>
      <c r="D20" s="116">
        <f t="shared" si="0"/>
        <v>448</v>
      </c>
    </row>
    <row r="21" spans="1:4" x14ac:dyDescent="0.2">
      <c r="A21" s="117" t="s">
        <v>119</v>
      </c>
      <c r="B21" s="116">
        <v>180</v>
      </c>
      <c r="C21" s="116">
        <v>191</v>
      </c>
      <c r="D21" s="116">
        <f t="shared" si="0"/>
        <v>371</v>
      </c>
    </row>
    <row r="22" spans="1:4" x14ac:dyDescent="0.2">
      <c r="A22" s="117" t="s">
        <v>369</v>
      </c>
      <c r="B22" s="116">
        <v>870</v>
      </c>
      <c r="C22" s="116">
        <v>881</v>
      </c>
      <c r="D22" s="116">
        <f t="shared" si="0"/>
        <v>1751</v>
      </c>
    </row>
    <row r="23" spans="1:4" x14ac:dyDescent="0.2">
      <c r="A23" s="117" t="s">
        <v>123</v>
      </c>
      <c r="B23" s="116">
        <v>900</v>
      </c>
      <c r="C23" s="116">
        <v>867</v>
      </c>
      <c r="D23" s="116">
        <f t="shared" si="0"/>
        <v>1767</v>
      </c>
    </row>
    <row r="24" spans="1:4" s="126" customFormat="1" ht="14.25" customHeight="1" x14ac:dyDescent="0.2">
      <c r="A24" s="125" t="s">
        <v>155</v>
      </c>
      <c r="B24" s="124">
        <f>SUM(B5:B23)</f>
        <v>17044</v>
      </c>
      <c r="C24" s="124">
        <f>SUM(C5:C23)</f>
        <v>14404</v>
      </c>
      <c r="D24" s="124">
        <f>SUM(D5:D23)</f>
        <v>31448</v>
      </c>
    </row>
    <row r="25" spans="1:4" x14ac:dyDescent="0.2">
      <c r="A25" s="129"/>
      <c r="D25" s="17"/>
    </row>
    <row r="26" spans="1:4" x14ac:dyDescent="0.2">
      <c r="A26" s="129"/>
      <c r="B26" s="17"/>
      <c r="C26" s="17"/>
      <c r="D26" s="17"/>
    </row>
  </sheetData>
  <mergeCells count="3">
    <mergeCell ref="A1:D1"/>
    <mergeCell ref="A3:A4"/>
    <mergeCell ref="B3:D3"/>
  </mergeCells>
  <pageMargins left="0.78740157480314965" right="0.59055118110236227" top="0.74803149606299213" bottom="0.59055118110236227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2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B31" sqref="B31:M32"/>
    </sheetView>
  </sheetViews>
  <sheetFormatPr defaultRowHeight="15" x14ac:dyDescent="0.25"/>
  <cols>
    <col min="1" max="1" width="26.5703125" style="99" customWidth="1"/>
    <col min="2" max="2" width="8" style="99" customWidth="1"/>
    <col min="3" max="3" width="10.28515625" style="99" customWidth="1"/>
    <col min="4" max="4" width="10.85546875" style="99" customWidth="1"/>
    <col min="5" max="5" width="11.85546875" style="99" customWidth="1"/>
    <col min="6" max="6" width="11.5703125" style="99" customWidth="1"/>
    <col min="7" max="7" width="10.140625" style="99" customWidth="1"/>
    <col min="8" max="8" width="10.5703125" style="99" customWidth="1"/>
    <col min="9" max="9" width="12" style="99" customWidth="1"/>
    <col min="10" max="10" width="11.85546875" style="99" customWidth="1"/>
    <col min="11" max="11" width="10.42578125" style="99" customWidth="1"/>
    <col min="12" max="12" width="11" style="99" customWidth="1"/>
    <col min="13" max="13" width="11.85546875" style="99" customWidth="1"/>
    <col min="14" max="16384" width="9.140625" style="99"/>
  </cols>
  <sheetData>
    <row r="1" spans="1:13" s="130" customFormat="1" ht="18.75" x14ac:dyDescent="0.3">
      <c r="A1" s="184" t="s">
        <v>370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s="66" customFormat="1" ht="12.75" x14ac:dyDescent="0.2">
      <c r="A2" s="67"/>
      <c r="B2" s="67"/>
      <c r="C2" s="67"/>
      <c r="D2" s="67"/>
      <c r="E2" s="67"/>
      <c r="F2" s="67"/>
      <c r="G2" s="67"/>
      <c r="H2" s="67"/>
      <c r="M2" s="66" t="s">
        <v>371</v>
      </c>
    </row>
    <row r="3" spans="1:13" s="42" customFormat="1" ht="12" x14ac:dyDescent="0.2">
      <c r="A3" s="217" t="s">
        <v>49</v>
      </c>
      <c r="B3" s="220" t="s">
        <v>33</v>
      </c>
      <c r="C3" s="221"/>
      <c r="D3" s="221"/>
      <c r="E3" s="221"/>
      <c r="F3" s="222"/>
      <c r="G3" s="223" t="s">
        <v>372</v>
      </c>
      <c r="H3" s="224"/>
      <c r="I3" s="224"/>
      <c r="J3" s="225"/>
      <c r="K3" s="226" t="s">
        <v>373</v>
      </c>
      <c r="L3" s="226"/>
      <c r="M3" s="226"/>
    </row>
    <row r="4" spans="1:13" s="42" customFormat="1" ht="12.75" customHeight="1" x14ac:dyDescent="0.2">
      <c r="A4" s="217"/>
      <c r="B4" s="227" t="s">
        <v>374</v>
      </c>
      <c r="C4" s="228"/>
      <c r="D4" s="228"/>
      <c r="E4" s="229"/>
      <c r="F4" s="217" t="s">
        <v>375</v>
      </c>
      <c r="G4" s="230" t="s">
        <v>374</v>
      </c>
      <c r="H4" s="230"/>
      <c r="I4" s="230"/>
      <c r="J4" s="217" t="s">
        <v>375</v>
      </c>
      <c r="K4" s="230" t="s">
        <v>374</v>
      </c>
      <c r="L4" s="230"/>
      <c r="M4" s="217" t="s">
        <v>375</v>
      </c>
    </row>
    <row r="5" spans="1:13" s="42" customFormat="1" ht="12.75" customHeight="1" x14ac:dyDescent="0.2">
      <c r="A5" s="217"/>
      <c r="B5" s="231" t="s">
        <v>33</v>
      </c>
      <c r="C5" s="230" t="s">
        <v>54</v>
      </c>
      <c r="D5" s="230"/>
      <c r="E5" s="230"/>
      <c r="F5" s="217"/>
      <c r="G5" s="217" t="s">
        <v>376</v>
      </c>
      <c r="H5" s="218" t="s">
        <v>377</v>
      </c>
      <c r="I5" s="218" t="s">
        <v>378</v>
      </c>
      <c r="J5" s="217"/>
      <c r="K5" s="217" t="s">
        <v>376</v>
      </c>
      <c r="L5" s="217" t="s">
        <v>377</v>
      </c>
      <c r="M5" s="217"/>
    </row>
    <row r="6" spans="1:13" s="42" customFormat="1" ht="63" customHeight="1" x14ac:dyDescent="0.2">
      <c r="A6" s="217"/>
      <c r="B6" s="232"/>
      <c r="C6" s="131" t="s">
        <v>376</v>
      </c>
      <c r="D6" s="131" t="s">
        <v>377</v>
      </c>
      <c r="E6" s="131" t="s">
        <v>378</v>
      </c>
      <c r="F6" s="217"/>
      <c r="G6" s="217"/>
      <c r="H6" s="219"/>
      <c r="I6" s="219"/>
      <c r="J6" s="217"/>
      <c r="K6" s="217"/>
      <c r="L6" s="217"/>
      <c r="M6" s="217"/>
    </row>
    <row r="7" spans="1:13" s="66" customFormat="1" ht="12.75" x14ac:dyDescent="0.2">
      <c r="A7" s="132" t="s">
        <v>63</v>
      </c>
      <c r="B7" s="133">
        <f>C7+D7+E7</f>
        <v>20241</v>
      </c>
      <c r="C7" s="133">
        <f>G7+K7</f>
        <v>7579</v>
      </c>
      <c r="D7" s="133">
        <f>H7+L7</f>
        <v>7579</v>
      </c>
      <c r="E7" s="133">
        <f>I7</f>
        <v>5083</v>
      </c>
      <c r="F7" s="133">
        <f>J7+M7</f>
        <v>5062</v>
      </c>
      <c r="G7" s="133">
        <v>5083</v>
      </c>
      <c r="H7" s="133">
        <v>5083</v>
      </c>
      <c r="I7" s="133">
        <v>5083</v>
      </c>
      <c r="J7" s="133">
        <v>3813</v>
      </c>
      <c r="K7" s="133">
        <v>2496</v>
      </c>
      <c r="L7" s="133">
        <v>2496</v>
      </c>
      <c r="M7" s="133">
        <v>1249</v>
      </c>
    </row>
    <row r="8" spans="1:13" s="66" customFormat="1" ht="12.75" x14ac:dyDescent="0.2">
      <c r="A8" s="132" t="s">
        <v>68</v>
      </c>
      <c r="B8" s="133">
        <f t="shared" ref="B8:B28" si="0">C8+D8+E8</f>
        <v>14028</v>
      </c>
      <c r="C8" s="133">
        <f t="shared" ref="C8:D28" si="1">G8+K8</f>
        <v>4676</v>
      </c>
      <c r="D8" s="133">
        <f t="shared" si="1"/>
        <v>4676</v>
      </c>
      <c r="E8" s="133">
        <f t="shared" ref="E8:E28" si="2">I8</f>
        <v>4676</v>
      </c>
      <c r="F8" s="133">
        <f t="shared" ref="F8:F28" si="3">J8+M8</f>
        <v>3507</v>
      </c>
      <c r="G8" s="133">
        <v>4676</v>
      </c>
      <c r="H8" s="133">
        <v>4676</v>
      </c>
      <c r="I8" s="133">
        <v>4676</v>
      </c>
      <c r="J8" s="133">
        <v>3507</v>
      </c>
      <c r="K8" s="133"/>
      <c r="L8" s="133"/>
      <c r="M8" s="133"/>
    </row>
    <row r="9" spans="1:13" s="66" customFormat="1" ht="12.75" x14ac:dyDescent="0.2">
      <c r="A9" s="132" t="s">
        <v>69</v>
      </c>
      <c r="B9" s="133">
        <f>C9+D9+E9</f>
        <v>12303</v>
      </c>
      <c r="C9" s="133">
        <f t="shared" si="1"/>
        <v>4543</v>
      </c>
      <c r="D9" s="133">
        <f t="shared" si="1"/>
        <v>4543</v>
      </c>
      <c r="E9" s="133">
        <f>I9</f>
        <v>3217</v>
      </c>
      <c r="F9" s="133">
        <f>J9+M9</f>
        <v>3075</v>
      </c>
      <c r="G9" s="133">
        <v>3217</v>
      </c>
      <c r="H9" s="133">
        <v>3217</v>
      </c>
      <c r="I9" s="133">
        <v>3217</v>
      </c>
      <c r="J9" s="133">
        <v>2412</v>
      </c>
      <c r="K9" s="133">
        <v>1326</v>
      </c>
      <c r="L9" s="133">
        <v>1326</v>
      </c>
      <c r="M9" s="133">
        <v>663</v>
      </c>
    </row>
    <row r="10" spans="1:13" s="66" customFormat="1" ht="12.75" x14ac:dyDescent="0.2">
      <c r="A10" s="132" t="s">
        <v>97</v>
      </c>
      <c r="B10" s="133">
        <f>C10+D10+E10</f>
        <v>7049</v>
      </c>
      <c r="C10" s="133">
        <f t="shared" si="1"/>
        <v>2608</v>
      </c>
      <c r="D10" s="133">
        <f t="shared" si="1"/>
        <v>2608</v>
      </c>
      <c r="E10" s="133">
        <f>I10</f>
        <v>1833</v>
      </c>
      <c r="F10" s="133">
        <f>J10+M10</f>
        <v>1761</v>
      </c>
      <c r="G10" s="133">
        <v>1833</v>
      </c>
      <c r="H10" s="133">
        <v>1833</v>
      </c>
      <c r="I10" s="133">
        <v>1833</v>
      </c>
      <c r="J10" s="133">
        <v>1375</v>
      </c>
      <c r="K10" s="133">
        <v>775</v>
      </c>
      <c r="L10" s="133">
        <v>775</v>
      </c>
      <c r="M10" s="133">
        <v>386</v>
      </c>
    </row>
    <row r="11" spans="1:13" s="66" customFormat="1" ht="12.75" x14ac:dyDescent="0.2">
      <c r="A11" s="132" t="s">
        <v>379</v>
      </c>
      <c r="B11" s="133">
        <f>C11+D11+E11</f>
        <v>11978</v>
      </c>
      <c r="C11" s="133">
        <f t="shared" si="1"/>
        <v>4441</v>
      </c>
      <c r="D11" s="133">
        <f t="shared" si="1"/>
        <v>4441</v>
      </c>
      <c r="E11" s="133">
        <f>I11</f>
        <v>3096</v>
      </c>
      <c r="F11" s="133">
        <f>J11+M11</f>
        <v>2995</v>
      </c>
      <c r="G11" s="133">
        <v>3096</v>
      </c>
      <c r="H11" s="133">
        <v>3096</v>
      </c>
      <c r="I11" s="133">
        <v>3096</v>
      </c>
      <c r="J11" s="133">
        <v>2322</v>
      </c>
      <c r="K11" s="133">
        <v>1345</v>
      </c>
      <c r="L11" s="133">
        <v>1345</v>
      </c>
      <c r="M11" s="133">
        <v>673</v>
      </c>
    </row>
    <row r="12" spans="1:13" s="66" customFormat="1" ht="12.75" x14ac:dyDescent="0.2">
      <c r="A12" s="132" t="s">
        <v>8</v>
      </c>
      <c r="B12" s="133">
        <f t="shared" si="0"/>
        <v>9370</v>
      </c>
      <c r="C12" s="133">
        <f t="shared" si="1"/>
        <v>3511</v>
      </c>
      <c r="D12" s="133">
        <f t="shared" si="1"/>
        <v>3511</v>
      </c>
      <c r="E12" s="133">
        <f t="shared" si="2"/>
        <v>2348</v>
      </c>
      <c r="F12" s="133">
        <f t="shared" si="3"/>
        <v>2341</v>
      </c>
      <c r="G12" s="133">
        <v>2348</v>
      </c>
      <c r="H12" s="133">
        <v>2348</v>
      </c>
      <c r="I12" s="133">
        <v>2348</v>
      </c>
      <c r="J12" s="133">
        <v>1761</v>
      </c>
      <c r="K12" s="133">
        <v>1163</v>
      </c>
      <c r="L12" s="133">
        <v>1163</v>
      </c>
      <c r="M12" s="133">
        <v>580</v>
      </c>
    </row>
    <row r="13" spans="1:13" s="66" customFormat="1" ht="12.75" x14ac:dyDescent="0.2">
      <c r="A13" s="132" t="s">
        <v>174</v>
      </c>
      <c r="B13" s="133">
        <f t="shared" si="0"/>
        <v>22436</v>
      </c>
      <c r="C13" s="133">
        <f t="shared" si="1"/>
        <v>8309</v>
      </c>
      <c r="D13" s="133">
        <f t="shared" si="1"/>
        <v>8309</v>
      </c>
      <c r="E13" s="133">
        <f t="shared" si="2"/>
        <v>5818</v>
      </c>
      <c r="F13" s="133">
        <f t="shared" si="3"/>
        <v>5608</v>
      </c>
      <c r="G13" s="133">
        <v>5818</v>
      </c>
      <c r="H13" s="133">
        <v>5818</v>
      </c>
      <c r="I13" s="133">
        <v>5818</v>
      </c>
      <c r="J13" s="133">
        <v>4363</v>
      </c>
      <c r="K13" s="133">
        <v>2491</v>
      </c>
      <c r="L13" s="133">
        <v>2491</v>
      </c>
      <c r="M13" s="133">
        <v>1245</v>
      </c>
    </row>
    <row r="14" spans="1:13" s="66" customFormat="1" ht="12.75" x14ac:dyDescent="0.2">
      <c r="A14" s="132" t="s">
        <v>380</v>
      </c>
      <c r="B14" s="133">
        <f t="shared" si="0"/>
        <v>19273</v>
      </c>
      <c r="C14" s="133">
        <f t="shared" si="1"/>
        <v>7096</v>
      </c>
      <c r="D14" s="133">
        <f t="shared" si="1"/>
        <v>7096</v>
      </c>
      <c r="E14" s="133">
        <f t="shared" si="2"/>
        <v>5081</v>
      </c>
      <c r="F14" s="133">
        <f t="shared" si="3"/>
        <v>4820</v>
      </c>
      <c r="G14" s="133">
        <v>5081</v>
      </c>
      <c r="H14" s="133">
        <v>5081</v>
      </c>
      <c r="I14" s="133">
        <v>5081</v>
      </c>
      <c r="J14" s="133">
        <v>3813</v>
      </c>
      <c r="K14" s="133">
        <v>2015</v>
      </c>
      <c r="L14" s="133">
        <v>2015</v>
      </c>
      <c r="M14" s="133">
        <v>1007</v>
      </c>
    </row>
    <row r="15" spans="1:13" s="66" customFormat="1" ht="12.75" x14ac:dyDescent="0.2">
      <c r="A15" s="132" t="s">
        <v>381</v>
      </c>
      <c r="B15" s="133">
        <f t="shared" si="0"/>
        <v>12928</v>
      </c>
      <c r="C15" s="133">
        <f t="shared" si="1"/>
        <v>4815</v>
      </c>
      <c r="D15" s="133">
        <f t="shared" si="1"/>
        <v>4815</v>
      </c>
      <c r="E15" s="133">
        <f t="shared" si="2"/>
        <v>3298</v>
      </c>
      <c r="F15" s="133">
        <f t="shared" si="3"/>
        <v>3773</v>
      </c>
      <c r="G15" s="133">
        <v>3298</v>
      </c>
      <c r="H15" s="133">
        <v>3298</v>
      </c>
      <c r="I15" s="133">
        <v>3298</v>
      </c>
      <c r="J15" s="133">
        <v>2473</v>
      </c>
      <c r="K15" s="133">
        <v>1517</v>
      </c>
      <c r="L15" s="133">
        <v>1517</v>
      </c>
      <c r="M15" s="133">
        <v>1300</v>
      </c>
    </row>
    <row r="16" spans="1:13" s="66" customFormat="1" ht="25.5" x14ac:dyDescent="0.2">
      <c r="A16" s="134" t="s">
        <v>382</v>
      </c>
      <c r="B16" s="133">
        <f t="shared" si="0"/>
        <v>28779</v>
      </c>
      <c r="C16" s="133">
        <f t="shared" si="1"/>
        <v>9593</v>
      </c>
      <c r="D16" s="133">
        <f t="shared" si="1"/>
        <v>9593</v>
      </c>
      <c r="E16" s="133">
        <f t="shared" si="2"/>
        <v>9593</v>
      </c>
      <c r="F16" s="133">
        <f t="shared" si="3"/>
        <v>7195</v>
      </c>
      <c r="G16" s="133">
        <v>9593</v>
      </c>
      <c r="H16" s="133">
        <v>9593</v>
      </c>
      <c r="I16" s="133">
        <v>9593</v>
      </c>
      <c r="J16" s="133">
        <v>7195</v>
      </c>
      <c r="K16" s="133"/>
      <c r="L16" s="133"/>
      <c r="M16" s="133"/>
    </row>
    <row r="17" spans="1:13" s="66" customFormat="1" ht="12.75" x14ac:dyDescent="0.2">
      <c r="A17" s="132" t="s">
        <v>383</v>
      </c>
      <c r="B17" s="133">
        <f t="shared" si="0"/>
        <v>8362</v>
      </c>
      <c r="C17" s="133">
        <f t="shared" si="1"/>
        <v>4181</v>
      </c>
      <c r="D17" s="133">
        <f t="shared" si="1"/>
        <v>4181</v>
      </c>
      <c r="E17" s="133">
        <f t="shared" si="2"/>
        <v>0</v>
      </c>
      <c r="F17" s="133">
        <f t="shared" si="3"/>
        <v>2091</v>
      </c>
      <c r="G17" s="133"/>
      <c r="H17" s="133"/>
      <c r="I17" s="133"/>
      <c r="J17" s="133"/>
      <c r="K17" s="133">
        <v>4181</v>
      </c>
      <c r="L17" s="133">
        <v>4181</v>
      </c>
      <c r="M17" s="133">
        <v>2091</v>
      </c>
    </row>
    <row r="18" spans="1:13" s="66" customFormat="1" ht="12.75" x14ac:dyDescent="0.2">
      <c r="A18" s="132" t="s">
        <v>384</v>
      </c>
      <c r="B18" s="133">
        <f t="shared" si="0"/>
        <v>31501</v>
      </c>
      <c r="C18" s="133">
        <f t="shared" si="1"/>
        <v>11112</v>
      </c>
      <c r="D18" s="133">
        <f t="shared" si="1"/>
        <v>11112</v>
      </c>
      <c r="E18" s="133">
        <f t="shared" si="2"/>
        <v>9277</v>
      </c>
      <c r="F18" s="133">
        <f t="shared" si="3"/>
        <v>7876</v>
      </c>
      <c r="G18" s="133">
        <v>9277</v>
      </c>
      <c r="H18" s="133">
        <v>9277</v>
      </c>
      <c r="I18" s="133">
        <v>9277</v>
      </c>
      <c r="J18" s="133">
        <v>6958</v>
      </c>
      <c r="K18" s="133">
        <v>1835</v>
      </c>
      <c r="L18" s="133">
        <v>1835</v>
      </c>
      <c r="M18" s="133">
        <v>918</v>
      </c>
    </row>
    <row r="19" spans="1:13" s="66" customFormat="1" ht="12.75" x14ac:dyDescent="0.2">
      <c r="A19" s="132" t="s">
        <v>112</v>
      </c>
      <c r="B19" s="133">
        <f t="shared" si="0"/>
        <v>4694</v>
      </c>
      <c r="C19" s="133">
        <f t="shared" si="1"/>
        <v>2347</v>
      </c>
      <c r="D19" s="133">
        <f t="shared" si="1"/>
        <v>2347</v>
      </c>
      <c r="E19" s="133">
        <f t="shared" si="2"/>
        <v>0</v>
      </c>
      <c r="F19" s="133">
        <f t="shared" si="3"/>
        <v>475</v>
      </c>
      <c r="G19" s="133"/>
      <c r="H19" s="133"/>
      <c r="I19" s="133"/>
      <c r="J19" s="133"/>
      <c r="K19" s="133">
        <v>2347</v>
      </c>
      <c r="L19" s="133">
        <v>2347</v>
      </c>
      <c r="M19" s="133">
        <v>475</v>
      </c>
    </row>
    <row r="20" spans="1:13" s="66" customFormat="1" ht="25.5" x14ac:dyDescent="0.2">
      <c r="A20" s="134" t="s">
        <v>385</v>
      </c>
      <c r="B20" s="133">
        <f>C20+D20+E20</f>
        <v>11376</v>
      </c>
      <c r="C20" s="133">
        <f>G20+K20</f>
        <v>5688</v>
      </c>
      <c r="D20" s="133">
        <f>H20+L20</f>
        <v>5688</v>
      </c>
      <c r="E20" s="133">
        <f>I20</f>
        <v>0</v>
      </c>
      <c r="F20" s="133">
        <f>J20+M20</f>
        <v>2844</v>
      </c>
      <c r="G20" s="133"/>
      <c r="H20" s="133"/>
      <c r="I20" s="133"/>
      <c r="J20" s="133"/>
      <c r="K20" s="133">
        <v>5688</v>
      </c>
      <c r="L20" s="133">
        <v>5688</v>
      </c>
      <c r="M20" s="133">
        <v>2844</v>
      </c>
    </row>
    <row r="21" spans="1:13" s="66" customFormat="1" ht="15" customHeight="1" x14ac:dyDescent="0.2">
      <c r="A21" s="134" t="s">
        <v>386</v>
      </c>
      <c r="B21" s="133">
        <f t="shared" si="0"/>
        <v>13154</v>
      </c>
      <c r="C21" s="133">
        <f t="shared" si="1"/>
        <v>4649</v>
      </c>
      <c r="D21" s="133">
        <f t="shared" si="1"/>
        <v>3856</v>
      </c>
      <c r="E21" s="133">
        <f t="shared" si="2"/>
        <v>4649</v>
      </c>
      <c r="F21" s="133">
        <f t="shared" si="3"/>
        <v>3486</v>
      </c>
      <c r="G21" s="133">
        <v>4649</v>
      </c>
      <c r="H21" s="133">
        <f>4649-793</f>
        <v>3856</v>
      </c>
      <c r="I21" s="133">
        <v>4649</v>
      </c>
      <c r="J21" s="133">
        <v>3486</v>
      </c>
      <c r="K21" s="133"/>
      <c r="L21" s="133"/>
      <c r="M21" s="133"/>
    </row>
    <row r="22" spans="1:13" s="66" customFormat="1" ht="25.5" x14ac:dyDescent="0.2">
      <c r="A22" s="134" t="s">
        <v>387</v>
      </c>
      <c r="B22" s="133">
        <f t="shared" si="0"/>
        <v>20904</v>
      </c>
      <c r="C22" s="133">
        <f t="shared" si="1"/>
        <v>6968</v>
      </c>
      <c r="D22" s="133">
        <f t="shared" si="1"/>
        <v>6968</v>
      </c>
      <c r="E22" s="133">
        <f t="shared" si="2"/>
        <v>6968</v>
      </c>
      <c r="F22" s="133">
        <f t="shared" si="3"/>
        <v>5225</v>
      </c>
      <c r="G22" s="133">
        <v>6968</v>
      </c>
      <c r="H22" s="133">
        <v>6968</v>
      </c>
      <c r="I22" s="133">
        <v>6968</v>
      </c>
      <c r="J22" s="133">
        <v>5225</v>
      </c>
      <c r="K22" s="133"/>
      <c r="L22" s="133"/>
      <c r="M22" s="133"/>
    </row>
    <row r="23" spans="1:13" s="66" customFormat="1" ht="25.5" x14ac:dyDescent="0.2">
      <c r="A23" s="134" t="s">
        <v>388</v>
      </c>
      <c r="B23" s="133">
        <f t="shared" si="0"/>
        <v>13707</v>
      </c>
      <c r="C23" s="133">
        <f t="shared" si="1"/>
        <v>4569</v>
      </c>
      <c r="D23" s="133">
        <f t="shared" si="1"/>
        <v>4569</v>
      </c>
      <c r="E23" s="133">
        <f t="shared" si="2"/>
        <v>4569</v>
      </c>
      <c r="F23" s="133">
        <f t="shared" si="3"/>
        <v>3428</v>
      </c>
      <c r="G23" s="133">
        <v>4569</v>
      </c>
      <c r="H23" s="133">
        <v>4569</v>
      </c>
      <c r="I23" s="133">
        <v>4569</v>
      </c>
      <c r="J23" s="133">
        <v>3428</v>
      </c>
      <c r="K23" s="133"/>
      <c r="L23" s="133"/>
      <c r="M23" s="133"/>
    </row>
    <row r="24" spans="1:13" s="66" customFormat="1" ht="25.5" x14ac:dyDescent="0.2">
      <c r="A24" s="134" t="s">
        <v>389</v>
      </c>
      <c r="B24" s="133">
        <f>C24+D24+E24</f>
        <v>11404</v>
      </c>
      <c r="C24" s="133">
        <f>G24+K24</f>
        <v>4198</v>
      </c>
      <c r="D24" s="133">
        <f>H24+L24</f>
        <v>3603</v>
      </c>
      <c r="E24" s="133">
        <f>I24</f>
        <v>3603</v>
      </c>
      <c r="F24" s="133">
        <f>J24+M24</f>
        <v>2901</v>
      </c>
      <c r="G24" s="133">
        <f>3603+595</f>
        <v>4198</v>
      </c>
      <c r="H24" s="133">
        <v>3603</v>
      </c>
      <c r="I24" s="133">
        <v>3603</v>
      </c>
      <c r="J24" s="133">
        <f>2703+198</f>
        <v>2901</v>
      </c>
      <c r="K24" s="133"/>
      <c r="L24" s="133"/>
      <c r="M24" s="133"/>
    </row>
    <row r="25" spans="1:13" s="66" customFormat="1" ht="12.75" x14ac:dyDescent="0.2">
      <c r="A25" s="134" t="s">
        <v>390</v>
      </c>
      <c r="B25" s="133">
        <f>C25+D25+E25</f>
        <v>13500</v>
      </c>
      <c r="C25" s="133">
        <f>G25+K25</f>
        <v>4964</v>
      </c>
      <c r="D25" s="133">
        <f>H25+L25</f>
        <v>4964</v>
      </c>
      <c r="E25" s="133">
        <f>I25</f>
        <v>3572</v>
      </c>
      <c r="F25" s="133">
        <f>J25+M25</f>
        <v>3375</v>
      </c>
      <c r="G25" s="133">
        <v>3572</v>
      </c>
      <c r="H25" s="133">
        <v>3572</v>
      </c>
      <c r="I25" s="133">
        <v>3572</v>
      </c>
      <c r="J25" s="133">
        <v>2680</v>
      </c>
      <c r="K25" s="133">
        <v>1392</v>
      </c>
      <c r="L25" s="133">
        <v>1392</v>
      </c>
      <c r="M25" s="133">
        <v>695</v>
      </c>
    </row>
    <row r="26" spans="1:13" s="66" customFormat="1" ht="12.75" x14ac:dyDescent="0.2">
      <c r="A26" s="134" t="s">
        <v>391</v>
      </c>
      <c r="B26" s="133">
        <f t="shared" si="0"/>
        <v>7420</v>
      </c>
      <c r="C26" s="133">
        <f t="shared" si="1"/>
        <v>3710</v>
      </c>
      <c r="D26" s="133">
        <f t="shared" si="1"/>
        <v>3710</v>
      </c>
      <c r="E26" s="133">
        <f t="shared" si="2"/>
        <v>0</v>
      </c>
      <c r="F26" s="133">
        <f t="shared" si="3"/>
        <v>1855</v>
      </c>
      <c r="G26" s="133"/>
      <c r="H26" s="133"/>
      <c r="I26" s="133"/>
      <c r="J26" s="133"/>
      <c r="K26" s="133">
        <v>3710</v>
      </c>
      <c r="L26" s="133">
        <v>3710</v>
      </c>
      <c r="M26" s="133">
        <v>1855</v>
      </c>
    </row>
    <row r="27" spans="1:13" s="66" customFormat="1" ht="12.75" x14ac:dyDescent="0.2">
      <c r="A27" s="134" t="s">
        <v>392</v>
      </c>
      <c r="B27" s="133">
        <f t="shared" si="0"/>
        <v>14478</v>
      </c>
      <c r="C27" s="133">
        <f t="shared" si="1"/>
        <v>4826</v>
      </c>
      <c r="D27" s="133">
        <f t="shared" si="1"/>
        <v>4826</v>
      </c>
      <c r="E27" s="133">
        <f t="shared" si="2"/>
        <v>4826</v>
      </c>
      <c r="F27" s="133">
        <f t="shared" si="3"/>
        <v>3621</v>
      </c>
      <c r="G27" s="133">
        <v>4826</v>
      </c>
      <c r="H27" s="133">
        <v>4826</v>
      </c>
      <c r="I27" s="133">
        <v>4826</v>
      </c>
      <c r="J27" s="133">
        <v>3621</v>
      </c>
      <c r="K27" s="133"/>
      <c r="L27" s="133"/>
      <c r="M27" s="133"/>
    </row>
    <row r="28" spans="1:13" s="66" customFormat="1" ht="15" customHeight="1" x14ac:dyDescent="0.2">
      <c r="A28" s="135" t="s">
        <v>225</v>
      </c>
      <c r="B28" s="133">
        <f t="shared" si="0"/>
        <v>15822</v>
      </c>
      <c r="C28" s="133">
        <f t="shared" si="1"/>
        <v>5619</v>
      </c>
      <c r="D28" s="133">
        <f t="shared" si="1"/>
        <v>5619</v>
      </c>
      <c r="E28" s="133">
        <f t="shared" si="2"/>
        <v>4584</v>
      </c>
      <c r="F28" s="133">
        <f t="shared" si="3"/>
        <v>3959</v>
      </c>
      <c r="G28" s="133">
        <v>4584</v>
      </c>
      <c r="H28" s="133">
        <v>4584</v>
      </c>
      <c r="I28" s="133">
        <v>4584</v>
      </c>
      <c r="J28" s="133">
        <v>3441</v>
      </c>
      <c r="K28" s="133">
        <v>1035</v>
      </c>
      <c r="L28" s="133">
        <v>1035</v>
      </c>
      <c r="M28" s="133">
        <v>518</v>
      </c>
    </row>
    <row r="29" spans="1:13" s="138" customFormat="1" ht="15.75" customHeight="1" x14ac:dyDescent="0.25">
      <c r="A29" s="136" t="s">
        <v>155</v>
      </c>
      <c r="B29" s="137">
        <f t="shared" ref="B29:M29" si="4">SUM(B7:B28)</f>
        <v>324707</v>
      </c>
      <c r="C29" s="137">
        <f t="shared" si="4"/>
        <v>120002</v>
      </c>
      <c r="D29" s="137">
        <f t="shared" si="4"/>
        <v>118614</v>
      </c>
      <c r="E29" s="137">
        <f t="shared" si="4"/>
        <v>86091</v>
      </c>
      <c r="F29" s="137">
        <f t="shared" si="4"/>
        <v>81273</v>
      </c>
      <c r="G29" s="137">
        <f t="shared" si="4"/>
        <v>86686</v>
      </c>
      <c r="H29" s="137">
        <f t="shared" si="4"/>
        <v>85298</v>
      </c>
      <c r="I29" s="137">
        <f t="shared" si="4"/>
        <v>86091</v>
      </c>
      <c r="J29" s="137">
        <f t="shared" si="4"/>
        <v>64774</v>
      </c>
      <c r="K29" s="137">
        <f t="shared" si="4"/>
        <v>33316</v>
      </c>
      <c r="L29" s="137">
        <f t="shared" si="4"/>
        <v>33316</v>
      </c>
      <c r="M29" s="137">
        <f t="shared" si="4"/>
        <v>16499</v>
      </c>
    </row>
    <row r="32" spans="1:13" x14ac:dyDescent="0.2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</sheetData>
  <mergeCells count="18">
    <mergeCell ref="A1:M1"/>
    <mergeCell ref="A3:A6"/>
    <mergeCell ref="B3:F3"/>
    <mergeCell ref="G3:J3"/>
    <mergeCell ref="K3:M3"/>
    <mergeCell ref="B4:E4"/>
    <mergeCell ref="F4:F6"/>
    <mergeCell ref="G4:I4"/>
    <mergeCell ref="J4:J6"/>
    <mergeCell ref="K4:L4"/>
    <mergeCell ref="M4:M6"/>
    <mergeCell ref="B5:B6"/>
    <mergeCell ref="C5:E5"/>
    <mergeCell ref="G5:G6"/>
    <mergeCell ref="H5:H6"/>
    <mergeCell ref="I5:I6"/>
    <mergeCell ref="K5:K6"/>
    <mergeCell ref="L5:L6"/>
  </mergeCells>
  <pageMargins left="0" right="0" top="0.74803149606299213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ВМП</vt:lpstr>
      <vt:lpstr>КС</vt:lpstr>
      <vt:lpstr>ДС</vt:lpstr>
      <vt:lpstr>АПУ(посещ)</vt:lpstr>
      <vt:lpstr>АПУ(обращ.)</vt:lpstr>
      <vt:lpstr>гемодиализ</vt:lpstr>
      <vt:lpstr>ЛДУ</vt:lpstr>
      <vt:lpstr>УЗИ</vt:lpstr>
      <vt:lpstr>ЦЗ</vt:lpstr>
      <vt:lpstr>СМП</vt:lpstr>
      <vt:lpstr>'АПУ(обращ.)'!Заголовки_для_печати</vt:lpstr>
      <vt:lpstr>'АПУ(посещ)'!Заголовки_для_печати</vt:lpstr>
      <vt:lpstr>ВМП!Заголовки_для_печати</vt:lpstr>
      <vt:lpstr>гемодиализ!Заголовки_для_печати</vt:lpstr>
      <vt:lpstr>ДС!Заголовки_для_печати</vt:lpstr>
      <vt:lpstr>КС!Заголовки_для_печати</vt:lpstr>
      <vt:lpstr>СМП!Заголовки_для_печати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ocit_1</dc:creator>
  <cp:lastModifiedBy>ocit_1</cp:lastModifiedBy>
  <cp:lastPrinted>2017-12-09T06:27:22Z</cp:lastPrinted>
  <dcterms:created xsi:type="dcterms:W3CDTF">2017-12-06T04:37:39Z</dcterms:created>
  <dcterms:modified xsi:type="dcterms:W3CDTF">2018-12-21T07:17:20Z</dcterms:modified>
</cp:coreProperties>
</file>