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3"/>
  </bookViews>
  <sheets>
    <sheet name="АПУ обращ." sheetId="1" r:id="rId1"/>
    <sheet name="АПУ посещ." sheetId="2" r:id="rId2"/>
    <sheet name="ВМП" sheetId="3" r:id="rId3"/>
    <sheet name="Гемодиализ" sheetId="5" r:id="rId4"/>
  </sheets>
  <definedNames>
    <definedName name="_xlnm.Print_Titles" localSheetId="0">'АПУ обращ.'!$3:$7</definedName>
    <definedName name="_xlnm.Print_Titles" localSheetId="1">'АПУ посещ.'!$3:$8</definedName>
    <definedName name="_xlnm.Print_Titles" localSheetId="2">ВМП!$2:$2</definedName>
  </definedNames>
  <calcPr calcId="124519"/>
</workbook>
</file>

<file path=xl/calcChain.xml><?xml version="1.0" encoding="utf-8"?>
<calcChain xmlns="http://schemas.openxmlformats.org/spreadsheetml/2006/main">
  <c r="L17" i="5"/>
  <c r="J17"/>
  <c r="I17"/>
  <c r="G17"/>
  <c r="N16"/>
  <c r="F16"/>
  <c r="E16"/>
  <c r="D16"/>
  <c r="C16"/>
  <c r="S15"/>
  <c r="R15"/>
  <c r="O15"/>
  <c r="F15"/>
  <c r="E15"/>
  <c r="D15"/>
  <c r="C15"/>
  <c r="S14"/>
  <c r="R14"/>
  <c r="P14"/>
  <c r="E14" s="1"/>
  <c r="O14"/>
  <c r="F14"/>
  <c r="D14"/>
  <c r="C14"/>
  <c r="S13"/>
  <c r="R13"/>
  <c r="Q13"/>
  <c r="O13"/>
  <c r="N13"/>
  <c r="N17" s="1"/>
  <c r="M13"/>
  <c r="F13"/>
  <c r="E13"/>
  <c r="D13"/>
  <c r="C13"/>
  <c r="S12"/>
  <c r="R12"/>
  <c r="P12"/>
  <c r="P17" s="1"/>
  <c r="O12"/>
  <c r="M12"/>
  <c r="M17" s="1"/>
  <c r="F12"/>
  <c r="D12"/>
  <c r="H11"/>
  <c r="H17" s="1"/>
  <c r="F11"/>
  <c r="E11"/>
  <c r="C11"/>
  <c r="F10"/>
  <c r="E10"/>
  <c r="D10"/>
  <c r="C10"/>
  <c r="T9"/>
  <c r="T17" s="1"/>
  <c r="S9"/>
  <c r="S17" s="1"/>
  <c r="R9"/>
  <c r="Q9"/>
  <c r="C9" s="1"/>
  <c r="E9"/>
  <c r="D9"/>
  <c r="F8"/>
  <c r="E8"/>
  <c r="D8"/>
  <c r="C8"/>
  <c r="F7"/>
  <c r="E7"/>
  <c r="D7"/>
  <c r="C7"/>
  <c r="R6"/>
  <c r="R17" s="1"/>
  <c r="O6"/>
  <c r="K6"/>
  <c r="K17" s="1"/>
  <c r="F6"/>
  <c r="D6"/>
  <c r="O17" l="1"/>
  <c r="Q17"/>
  <c r="C6"/>
  <c r="E6"/>
  <c r="F9"/>
  <c r="F17" s="1"/>
  <c r="D11"/>
  <c r="D17" s="1"/>
  <c r="C12"/>
  <c r="E12"/>
  <c r="E17" l="1"/>
  <c r="C17"/>
  <c r="X74" i="3" l="1"/>
  <c r="X73"/>
  <c r="W72"/>
  <c r="W75" s="1"/>
  <c r="V72"/>
  <c r="U72"/>
  <c r="U75" s="1"/>
  <c r="T72"/>
  <c r="T75" s="1"/>
  <c r="S72"/>
  <c r="S75" s="1"/>
  <c r="R72"/>
  <c r="R75" s="1"/>
  <c r="Q72"/>
  <c r="Q75" s="1"/>
  <c r="P72"/>
  <c r="P75" s="1"/>
  <c r="O72"/>
  <c r="O75" s="1"/>
  <c r="N72"/>
  <c r="N75" s="1"/>
  <c r="M72"/>
  <c r="M75" s="1"/>
  <c r="L72"/>
  <c r="L75" s="1"/>
  <c r="K72"/>
  <c r="K75" s="1"/>
  <c r="J72"/>
  <c r="J75" s="1"/>
  <c r="I72"/>
  <c r="I75" s="1"/>
  <c r="H72"/>
  <c r="G72"/>
  <c r="G75" s="1"/>
  <c r="F72"/>
  <c r="F75" s="1"/>
  <c r="E72"/>
  <c r="E75" s="1"/>
  <c r="D72"/>
  <c r="D75" s="1"/>
  <c r="C72"/>
  <c r="C75" s="1"/>
  <c r="B72"/>
  <c r="X72" s="1"/>
  <c r="X7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X70" s="1"/>
  <c r="X69"/>
  <c r="X68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X67" s="1"/>
  <c r="H66"/>
  <c r="X66" s="1"/>
  <c r="L65"/>
  <c r="X65" s="1"/>
  <c r="H64"/>
  <c r="X64" s="1"/>
  <c r="L63"/>
  <c r="H63"/>
  <c r="X63" s="1"/>
  <c r="X62"/>
  <c r="H62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X61" s="1"/>
  <c r="X60"/>
  <c r="X59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X58" s="1"/>
  <c r="X57"/>
  <c r="V57"/>
  <c r="X56"/>
  <c r="T56"/>
  <c r="X55"/>
  <c r="T55"/>
  <c r="X54"/>
  <c r="V53"/>
  <c r="X53" s="1"/>
  <c r="V52"/>
  <c r="X52" s="1"/>
  <c r="V51"/>
  <c r="X51" s="1"/>
  <c r="X50"/>
  <c r="X49"/>
  <c r="V49"/>
  <c r="X48"/>
  <c r="V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X47" s="1"/>
  <c r="X46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X45" s="1"/>
  <c r="X44"/>
  <c r="X43"/>
  <c r="X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X41" s="1"/>
  <c r="X40"/>
  <c r="X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X38" s="1"/>
  <c r="X37"/>
  <c r="G37"/>
  <c r="X36"/>
  <c r="G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X35" s="1"/>
  <c r="V34"/>
  <c r="X34" s="1"/>
  <c r="V33"/>
  <c r="X33" s="1"/>
  <c r="V32"/>
  <c r="X32" s="1"/>
  <c r="W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V30"/>
  <c r="H30"/>
  <c r="X30" s="1"/>
  <c r="H29"/>
  <c r="X29" s="1"/>
  <c r="W28"/>
  <c r="V28"/>
  <c r="U28"/>
  <c r="T28"/>
  <c r="S28"/>
  <c r="R28"/>
  <c r="Q28"/>
  <c r="P28"/>
  <c r="O28"/>
  <c r="N28"/>
  <c r="M28"/>
  <c r="L28"/>
  <c r="K28"/>
  <c r="J28"/>
  <c r="I28"/>
  <c r="G28"/>
  <c r="F28"/>
  <c r="E28"/>
  <c r="D28"/>
  <c r="C28"/>
  <c r="B28"/>
  <c r="X27"/>
  <c r="B26"/>
  <c r="X26" s="1"/>
  <c r="H25"/>
  <c r="X25" s="1"/>
  <c r="X24"/>
  <c r="X23"/>
  <c r="X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X21" s="1"/>
  <c r="X20"/>
  <c r="X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X18" s="1"/>
  <c r="X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X16" s="1"/>
  <c r="X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X14" s="1"/>
  <c r="X13"/>
  <c r="X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X11" s="1"/>
  <c r="X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X9" s="1"/>
  <c r="X8"/>
  <c r="X7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X6" s="1"/>
  <c r="X5"/>
  <c r="X3" s="1"/>
  <c r="X4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B75" l="1"/>
  <c r="H28"/>
  <c r="X28" s="1"/>
  <c r="V31"/>
  <c r="X31" s="1"/>
  <c r="H75" l="1"/>
  <c r="X75" s="1"/>
  <c r="V75"/>
  <c r="K169" i="2" l="1"/>
  <c r="K171" s="1"/>
  <c r="J169"/>
  <c r="J171" s="1"/>
  <c r="I169"/>
  <c r="I171" s="1"/>
  <c r="G169"/>
  <c r="G171" s="1"/>
  <c r="D169"/>
  <c r="D171" s="1"/>
  <c r="C168"/>
  <c r="C167"/>
  <c r="R166"/>
  <c r="Q166"/>
  <c r="F166"/>
  <c r="E166"/>
  <c r="C166" s="1"/>
  <c r="R165"/>
  <c r="Q165"/>
  <c r="F165"/>
  <c r="E165" s="1"/>
  <c r="C165" s="1"/>
  <c r="C164"/>
  <c r="L163"/>
  <c r="C163" s="1"/>
  <c r="C162"/>
  <c r="C161"/>
  <c r="O160"/>
  <c r="C160" s="1"/>
  <c r="O159"/>
  <c r="C159" s="1"/>
  <c r="C158"/>
  <c r="C157"/>
  <c r="C156"/>
  <c r="O155"/>
  <c r="C155"/>
  <c r="C154"/>
  <c r="O153"/>
  <c r="O169" s="1"/>
  <c r="O171" s="1"/>
  <c r="C152"/>
  <c r="C151"/>
  <c r="C150"/>
  <c r="P149"/>
  <c r="C149"/>
  <c r="C148"/>
  <c r="C147"/>
  <c r="C146"/>
  <c r="C145"/>
  <c r="C144"/>
  <c r="R143"/>
  <c r="Q143"/>
  <c r="E143"/>
  <c r="C143" s="1"/>
  <c r="C142"/>
  <c r="R141"/>
  <c r="Q141"/>
  <c r="E141"/>
  <c r="C141"/>
  <c r="R140"/>
  <c r="Q140"/>
  <c r="N140"/>
  <c r="M140"/>
  <c r="L140" s="1"/>
  <c r="F140"/>
  <c r="E140" s="1"/>
  <c r="C139"/>
  <c r="R138"/>
  <c r="Q138"/>
  <c r="E138"/>
  <c r="C138" s="1"/>
  <c r="R137"/>
  <c r="Q137"/>
  <c r="E137"/>
  <c r="C137" s="1"/>
  <c r="R136"/>
  <c r="Q136"/>
  <c r="E136"/>
  <c r="C136" s="1"/>
  <c r="R135"/>
  <c r="Q135"/>
  <c r="E135"/>
  <c r="C135" s="1"/>
  <c r="R134"/>
  <c r="Q134"/>
  <c r="E134"/>
  <c r="C134" s="1"/>
  <c r="R133"/>
  <c r="Q133"/>
  <c r="E133"/>
  <c r="C133" s="1"/>
  <c r="R132"/>
  <c r="Q132"/>
  <c r="E132"/>
  <c r="C132" s="1"/>
  <c r="R131"/>
  <c r="Q131"/>
  <c r="E131"/>
  <c r="C131" s="1"/>
  <c r="R130"/>
  <c r="Q130"/>
  <c r="E130"/>
  <c r="C130" s="1"/>
  <c r="R129"/>
  <c r="Q129"/>
  <c r="E129"/>
  <c r="C129" s="1"/>
  <c r="C128"/>
  <c r="R127"/>
  <c r="Q127"/>
  <c r="F127"/>
  <c r="E127"/>
  <c r="C127" s="1"/>
  <c r="Q126"/>
  <c r="C126" s="1"/>
  <c r="R125"/>
  <c r="Q125"/>
  <c r="N125"/>
  <c r="N169" s="1"/>
  <c r="N171" s="1"/>
  <c r="M125"/>
  <c r="M169" s="1"/>
  <c r="M171" s="1"/>
  <c r="L125"/>
  <c r="E125"/>
  <c r="C125"/>
  <c r="R124"/>
  <c r="Q124"/>
  <c r="E124"/>
  <c r="C124"/>
  <c r="R123"/>
  <c r="L123"/>
  <c r="E123"/>
  <c r="C123"/>
  <c r="R122"/>
  <c r="Q122"/>
  <c r="E122"/>
  <c r="C122"/>
  <c r="R121"/>
  <c r="Q121"/>
  <c r="E121"/>
  <c r="C121"/>
  <c r="R120"/>
  <c r="Q120"/>
  <c r="L120"/>
  <c r="E120"/>
  <c r="C120" s="1"/>
  <c r="R119"/>
  <c r="Q119"/>
  <c r="E119"/>
  <c r="C119" s="1"/>
  <c r="C118"/>
  <c r="C117"/>
  <c r="C116"/>
  <c r="C115"/>
  <c r="C114"/>
  <c r="C113"/>
  <c r="C112"/>
  <c r="R111"/>
  <c r="Q111"/>
  <c r="F111"/>
  <c r="E111"/>
  <c r="C111" s="1"/>
  <c r="R110"/>
  <c r="Q110"/>
  <c r="E110"/>
  <c r="C110" s="1"/>
  <c r="R109"/>
  <c r="Q109"/>
  <c r="L109"/>
  <c r="E109"/>
  <c r="C109"/>
  <c r="R108"/>
  <c r="Q108"/>
  <c r="E108"/>
  <c r="C108"/>
  <c r="R107"/>
  <c r="Q107"/>
  <c r="L107"/>
  <c r="E107"/>
  <c r="C107" s="1"/>
  <c r="R106"/>
  <c r="Q106"/>
  <c r="E106"/>
  <c r="C106" s="1"/>
  <c r="R105"/>
  <c r="Q105"/>
  <c r="L105"/>
  <c r="E105"/>
  <c r="C105"/>
  <c r="R104"/>
  <c r="Q104"/>
  <c r="E104"/>
  <c r="C104"/>
  <c r="R103"/>
  <c r="Q103"/>
  <c r="F103"/>
  <c r="F169" s="1"/>
  <c r="F171" s="1"/>
  <c r="E103"/>
  <c r="C103" s="1"/>
  <c r="R102"/>
  <c r="Q102"/>
  <c r="E102"/>
  <c r="C102" s="1"/>
  <c r="R101"/>
  <c r="Q101"/>
  <c r="E101"/>
  <c r="C101" s="1"/>
  <c r="C100"/>
  <c r="C99"/>
  <c r="Q98"/>
  <c r="C98" s="1"/>
  <c r="Q97"/>
  <c r="C97" s="1"/>
  <c r="Q96"/>
  <c r="C96" s="1"/>
  <c r="Q95"/>
  <c r="C95" s="1"/>
  <c r="Q94"/>
  <c r="C94" s="1"/>
  <c r="R93"/>
  <c r="Q93"/>
  <c r="E93"/>
  <c r="C93" s="1"/>
  <c r="R92"/>
  <c r="Q92"/>
  <c r="E92"/>
  <c r="C92" s="1"/>
  <c r="R91"/>
  <c r="Q91"/>
  <c r="E91"/>
  <c r="C91" s="1"/>
  <c r="C90"/>
  <c r="R89"/>
  <c r="Q89"/>
  <c r="L89"/>
  <c r="E89"/>
  <c r="C89" s="1"/>
  <c r="R88"/>
  <c r="Q88"/>
  <c r="E88"/>
  <c r="C88" s="1"/>
  <c r="Q87"/>
  <c r="C87" s="1"/>
  <c r="R86"/>
  <c r="Q86"/>
  <c r="E86"/>
  <c r="C86" s="1"/>
  <c r="R85"/>
  <c r="Q85"/>
  <c r="E85"/>
  <c r="C85" s="1"/>
  <c r="R84"/>
  <c r="Q84"/>
  <c r="E84"/>
  <c r="C84" s="1"/>
  <c r="R83"/>
  <c r="Q83"/>
  <c r="E83"/>
  <c r="C83" s="1"/>
  <c r="R82"/>
  <c r="Q82"/>
  <c r="E82"/>
  <c r="C82" s="1"/>
  <c r="R81"/>
  <c r="Q81"/>
  <c r="E81"/>
  <c r="C81" s="1"/>
  <c r="C80"/>
  <c r="C79"/>
  <c r="C78"/>
  <c r="Q77"/>
  <c r="C77"/>
  <c r="R76"/>
  <c r="Q76"/>
  <c r="L76"/>
  <c r="E76"/>
  <c r="C76" s="1"/>
  <c r="R75"/>
  <c r="Q75"/>
  <c r="L75"/>
  <c r="E75"/>
  <c r="C75"/>
  <c r="R74"/>
  <c r="Q74"/>
  <c r="E74"/>
  <c r="C74"/>
  <c r="R73"/>
  <c r="Q73"/>
  <c r="E73"/>
  <c r="C73"/>
  <c r="R72"/>
  <c r="Q72"/>
  <c r="E72"/>
  <c r="C72"/>
  <c r="R71"/>
  <c r="Q71"/>
  <c r="E71"/>
  <c r="C71"/>
  <c r="C70"/>
  <c r="C69"/>
  <c r="Q68"/>
  <c r="C68"/>
  <c r="C67"/>
  <c r="R66"/>
  <c r="Q66"/>
  <c r="E66"/>
  <c r="C66" s="1"/>
  <c r="R65"/>
  <c r="Q65"/>
  <c r="E65"/>
  <c r="C65" s="1"/>
  <c r="R64"/>
  <c r="Q64"/>
  <c r="E64"/>
  <c r="C64" s="1"/>
  <c r="R63"/>
  <c r="Q63"/>
  <c r="L63"/>
  <c r="E63"/>
  <c r="C63"/>
  <c r="R62"/>
  <c r="Q62"/>
  <c r="E62"/>
  <c r="C62"/>
  <c r="C61"/>
  <c r="C60"/>
  <c r="R59"/>
  <c r="Q59"/>
  <c r="E59"/>
  <c r="C59"/>
  <c r="R58"/>
  <c r="Q58"/>
  <c r="E58"/>
  <c r="C58"/>
  <c r="R57"/>
  <c r="Q57"/>
  <c r="E57"/>
  <c r="C57"/>
  <c r="C56"/>
  <c r="R55"/>
  <c r="Q55"/>
  <c r="E55"/>
  <c r="C55" s="1"/>
  <c r="C54"/>
  <c r="R53"/>
  <c r="Q53"/>
  <c r="E53"/>
  <c r="C53"/>
  <c r="R52"/>
  <c r="Q52"/>
  <c r="E52"/>
  <c r="C52"/>
  <c r="R51"/>
  <c r="Q51"/>
  <c r="E51"/>
  <c r="C51"/>
  <c r="R50"/>
  <c r="Q50"/>
  <c r="E50"/>
  <c r="C50"/>
  <c r="R49"/>
  <c r="Q49"/>
  <c r="L49"/>
  <c r="E49"/>
  <c r="C49" s="1"/>
  <c r="C48"/>
  <c r="C47"/>
  <c r="P46"/>
  <c r="C46" s="1"/>
  <c r="P45"/>
  <c r="C45" s="1"/>
  <c r="C44"/>
  <c r="C43"/>
  <c r="C42"/>
  <c r="C41"/>
  <c r="R40"/>
  <c r="Q40"/>
  <c r="E40"/>
  <c r="C40" s="1"/>
  <c r="R39"/>
  <c r="Q39"/>
  <c r="E39"/>
  <c r="C39" s="1"/>
  <c r="R38"/>
  <c r="Q38"/>
  <c r="E38"/>
  <c r="C38" s="1"/>
  <c r="R37"/>
  <c r="Q37"/>
  <c r="E37"/>
  <c r="C37" s="1"/>
  <c r="R36"/>
  <c r="Q36"/>
  <c r="E36"/>
  <c r="C36" s="1"/>
  <c r="R35"/>
  <c r="Q35"/>
  <c r="E35"/>
  <c r="C35" s="1"/>
  <c r="R34"/>
  <c r="Q34"/>
  <c r="L34"/>
  <c r="E34"/>
  <c r="C34"/>
  <c r="R33"/>
  <c r="Q33"/>
  <c r="E33"/>
  <c r="C33"/>
  <c r="R32"/>
  <c r="Q32"/>
  <c r="E32"/>
  <c r="C32"/>
  <c r="R31"/>
  <c r="Q31"/>
  <c r="E31"/>
  <c r="C31"/>
  <c r="R30"/>
  <c r="Q30"/>
  <c r="L30"/>
  <c r="E30"/>
  <c r="C30" s="1"/>
  <c r="C29"/>
  <c r="R28"/>
  <c r="Q28"/>
  <c r="L28"/>
  <c r="E28"/>
  <c r="C28" s="1"/>
  <c r="C27"/>
  <c r="R26"/>
  <c r="Q26"/>
  <c r="L26"/>
  <c r="E26"/>
  <c r="C26" s="1"/>
  <c r="R25"/>
  <c r="Q25"/>
  <c r="E25"/>
  <c r="C25" s="1"/>
  <c r="C24"/>
  <c r="R23"/>
  <c r="Q23"/>
  <c r="E23"/>
  <c r="C23"/>
  <c r="R22"/>
  <c r="Q22"/>
  <c r="E22"/>
  <c r="C22"/>
  <c r="R21"/>
  <c r="Q21"/>
  <c r="E21"/>
  <c r="C21"/>
  <c r="R20"/>
  <c r="Q20"/>
  <c r="H20"/>
  <c r="H169" s="1"/>
  <c r="H171" s="1"/>
  <c r="E20"/>
  <c r="C20" s="1"/>
  <c r="C19"/>
  <c r="C18"/>
  <c r="P17"/>
  <c r="P169" s="1"/>
  <c r="P171" s="1"/>
  <c r="C16"/>
  <c r="C15"/>
  <c r="R14"/>
  <c r="Q14"/>
  <c r="E14"/>
  <c r="C14" s="1"/>
  <c r="R13"/>
  <c r="Q13"/>
  <c r="L13"/>
  <c r="E13"/>
  <c r="C13"/>
  <c r="R12"/>
  <c r="Q12"/>
  <c r="L12"/>
  <c r="E12"/>
  <c r="C12" s="1"/>
  <c r="R11"/>
  <c r="Q11"/>
  <c r="L11"/>
  <c r="E11"/>
  <c r="C11"/>
  <c r="R10"/>
  <c r="Q10"/>
  <c r="L10"/>
  <c r="E10"/>
  <c r="C10" s="1"/>
  <c r="R9"/>
  <c r="R169" s="1"/>
  <c r="R171" s="1"/>
  <c r="Q9"/>
  <c r="Q169" s="1"/>
  <c r="Q171" s="1"/>
  <c r="L9"/>
  <c r="L169" s="1"/>
  <c r="L171" s="1"/>
  <c r="E9"/>
  <c r="E169" s="1"/>
  <c r="E171" s="1"/>
  <c r="C9"/>
  <c r="C140" l="1"/>
  <c r="C17"/>
  <c r="C169" s="1"/>
  <c r="C171" s="1"/>
  <c r="C153"/>
  <c r="J179" i="1" l="1"/>
  <c r="J181" s="1"/>
  <c r="I179"/>
  <c r="I181" s="1"/>
  <c r="G179"/>
  <c r="G181" s="1"/>
  <c r="C178"/>
  <c r="E177"/>
  <c r="E176"/>
  <c r="E175"/>
  <c r="C175"/>
  <c r="E174"/>
  <c r="E173"/>
  <c r="D173"/>
  <c r="D179" s="1"/>
  <c r="D181" s="1"/>
  <c r="C173"/>
  <c r="E172"/>
  <c r="E171"/>
  <c r="E170"/>
  <c r="E169"/>
  <c r="E168"/>
  <c r="H167"/>
  <c r="E167"/>
  <c r="E166"/>
  <c r="E165"/>
  <c r="E164"/>
  <c r="E163"/>
  <c r="E162"/>
  <c r="E161"/>
  <c r="H160"/>
  <c r="E160"/>
  <c r="E159"/>
  <c r="E158"/>
  <c r="E157"/>
  <c r="E156"/>
  <c r="E155"/>
  <c r="E154"/>
  <c r="E153"/>
  <c r="H152"/>
  <c r="E152" s="1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F116"/>
  <c r="E116"/>
  <c r="C116"/>
  <c r="E115"/>
  <c r="F114"/>
  <c r="E114"/>
  <c r="E113"/>
  <c r="C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F86"/>
  <c r="E86"/>
  <c r="E85"/>
  <c r="E84"/>
  <c r="E83"/>
  <c r="E82"/>
  <c r="E81"/>
  <c r="E80"/>
  <c r="E79"/>
  <c r="F78"/>
  <c r="E78" s="1"/>
  <c r="C78"/>
  <c r="E77"/>
  <c r="F76"/>
  <c r="E76" s="1"/>
  <c r="E75"/>
  <c r="E74"/>
  <c r="E73"/>
  <c r="E72"/>
  <c r="E71"/>
  <c r="E70"/>
  <c r="E69"/>
  <c r="E68"/>
  <c r="E67"/>
  <c r="E66"/>
  <c r="F65"/>
  <c r="E65" s="1"/>
  <c r="E64"/>
  <c r="E63"/>
  <c r="E62"/>
  <c r="E61"/>
  <c r="E60"/>
  <c r="E59"/>
  <c r="E58"/>
  <c r="E57"/>
  <c r="E56"/>
  <c r="F55"/>
  <c r="E55"/>
  <c r="E54"/>
  <c r="E53"/>
  <c r="E52"/>
  <c r="E51"/>
  <c r="E50"/>
  <c r="E49"/>
  <c r="H48"/>
  <c r="E48"/>
  <c r="E47"/>
  <c r="E46"/>
  <c r="H45"/>
  <c r="E45"/>
  <c r="E44"/>
  <c r="E43"/>
  <c r="E42"/>
  <c r="E41"/>
  <c r="F40"/>
  <c r="E40"/>
  <c r="F39"/>
  <c r="E39"/>
  <c r="F38"/>
  <c r="E38"/>
  <c r="E37"/>
  <c r="E36"/>
  <c r="E35"/>
  <c r="F34"/>
  <c r="E34" s="1"/>
  <c r="E33"/>
  <c r="E32"/>
  <c r="E31"/>
  <c r="E30"/>
  <c r="E29"/>
  <c r="E28"/>
  <c r="H27"/>
  <c r="E27" s="1"/>
  <c r="E26"/>
  <c r="E25"/>
  <c r="H24"/>
  <c r="E24" s="1"/>
  <c r="E23"/>
  <c r="E22"/>
  <c r="E21"/>
  <c r="C21"/>
  <c r="E20"/>
  <c r="H19"/>
  <c r="E19"/>
  <c r="E18"/>
  <c r="E17"/>
  <c r="H16"/>
  <c r="H179" s="1"/>
  <c r="H181" s="1"/>
  <c r="E16"/>
  <c r="C16"/>
  <c r="E15"/>
  <c r="E14"/>
  <c r="E13"/>
  <c r="E12"/>
  <c r="F11"/>
  <c r="F179" s="1"/>
  <c r="F181" s="1"/>
  <c r="E10"/>
  <c r="E9"/>
  <c r="E8"/>
  <c r="C8"/>
  <c r="C179" s="1"/>
  <c r="C181" s="1"/>
  <c r="E179" l="1"/>
  <c r="E181" s="1"/>
  <c r="E11"/>
</calcChain>
</file>

<file path=xl/sharedStrings.xml><?xml version="1.0" encoding="utf-8"?>
<sst xmlns="http://schemas.openxmlformats.org/spreadsheetml/2006/main" count="463" uniqueCount="285">
  <si>
    <t>Амбулаторно-поликлиническая помощь в части обращений в связи с заболеваниями  и неотложной медицинской помощи на 2018 год.</t>
  </si>
  <si>
    <t>№ п/п</t>
  </si>
  <si>
    <t>Наименование медицинских организаций</t>
  </si>
  <si>
    <t>Неотложная медицинская помощь (посещение по неотложной медицинской помощи)</t>
  </si>
  <si>
    <t>в том числе посещения в травматоло-гические пункты</t>
  </si>
  <si>
    <t>Обращения в связи с заболеваниями (обращение)</t>
  </si>
  <si>
    <t>Всего</t>
  </si>
  <si>
    <t>в том числе</t>
  </si>
  <si>
    <t>Обращения МО, имеющих прикрепленное население</t>
  </si>
  <si>
    <t>Обращения МО, не имеющих прикрепленного населения</t>
  </si>
  <si>
    <t>Обращения в онкоцен-трах</t>
  </si>
  <si>
    <r>
      <t>Обращения к нефрологу по поводу гемодиализа (перитонеаль-ного диализа</t>
    </r>
    <r>
      <rPr>
        <sz val="8"/>
        <color rgb="FF000000"/>
        <rFont val="Times New Roman"/>
        <family val="1"/>
        <charset val="204"/>
      </rPr>
      <t>)</t>
    </r>
  </si>
  <si>
    <t>финансиру-емые по реестрам</t>
  </si>
  <si>
    <t>финансиру-емые по подушевому принципу</t>
  </si>
  <si>
    <t>ГБУЗ РБ Белебеевская ЦРБ</t>
  </si>
  <si>
    <t>ГБУЗ РБ Давлекановская ЦРБ</t>
  </si>
  <si>
    <t>ГБУЗ РБ Бижбулякская ЦРБ</t>
  </si>
  <si>
    <t>ГБУЗ РБ Ермекеевская ЦРБ</t>
  </si>
  <si>
    <t>ГБУЗ РБ Миякинская ЦРБ</t>
  </si>
  <si>
    <t>ГБУЗ РБ Раевская ЦРБ</t>
  </si>
  <si>
    <t>ООО "Академия здоровья"</t>
  </si>
  <si>
    <t>ООО "Дентал Стандарт"</t>
  </si>
  <si>
    <t>ООО "Зубы и зубки"</t>
  </si>
  <si>
    <t>ООО "Радуга"</t>
  </si>
  <si>
    <t>ООО "Центр здоровья и красоты"</t>
  </si>
  <si>
    <t>ООО «Экодент»</t>
  </si>
  <si>
    <t>ГБУЗ РБ Белорецкая ЦРКБ</t>
  </si>
  <si>
    <t>ГАУЗ РБ Учалинская ЦГБ</t>
  </si>
  <si>
    <t>ГБУЗ РБ Аскаровская ЦРБ</t>
  </si>
  <si>
    <t>ГБУЗ РБ Бурзянская ЦРБ</t>
  </si>
  <si>
    <t>ООО "Мой доктор"</t>
  </si>
  <si>
    <t>ФГБУЗ МСЧ № 142 ФМБА России</t>
  </si>
  <si>
    <t>ГБУЗ РБ Бирская ЦРБ</t>
  </si>
  <si>
    <t>ГБУЗ РБ Бирская стоматологическая поликлиника</t>
  </si>
  <si>
    <t>ГБУЗ РБ Дюртюлинская ЦРБ</t>
  </si>
  <si>
    <t>ГАУЗ РБ СП Дюртюлинского района</t>
  </si>
  <si>
    <t>ГБУЗ РБ ГБ г. Нефтекамск</t>
  </si>
  <si>
    <t>Обособленное структурное подразделение ГБУЗ РБ ГБ                         г. Нефтекамск, ранее именуемое ГБУЗ РБ Агидельская ГБ</t>
  </si>
  <si>
    <t>ГБУЗ РБ Янаульская ЦРБ</t>
  </si>
  <si>
    <t>ГБУЗ РБ Аскинская ЦРБ</t>
  </si>
  <si>
    <t>ГБУЗ РБ Балтачевская ЦРБ</t>
  </si>
  <si>
    <t>ГБУЗ РБ Бураевская ЦРБ</t>
  </si>
  <si>
    <t>ГБУЗ РБ Верхне-Татышлинская ЦРБ</t>
  </si>
  <si>
    <t>ГБУЗ РБ Калтасинская ЦРБ</t>
  </si>
  <si>
    <t>ГБУЗ РБ Караидельская ЦРБ</t>
  </si>
  <si>
    <t>ГБУЗ РБ Краснокамская ЦРБ</t>
  </si>
  <si>
    <t>ГБУЗ РБ Мишкинская ЦРБ</t>
  </si>
  <si>
    <t>ООО  «Белый Жемчуг»</t>
  </si>
  <si>
    <t>ООО  «Ваша стоматология»</t>
  </si>
  <si>
    <t>ООО "ВИП"</t>
  </si>
  <si>
    <t>ООО "ВИТАЛ"</t>
  </si>
  <si>
    <t>ООО "Галия"</t>
  </si>
  <si>
    <t>ООО ГСК</t>
  </si>
  <si>
    <t>ООО "Дента"</t>
  </si>
  <si>
    <t>ООО "ПМЦ "Династия"</t>
  </si>
  <si>
    <t>ООО «Корона+»</t>
  </si>
  <si>
    <t>ООО "Медисса"</t>
  </si>
  <si>
    <t>ООО "ЭнжеДент"</t>
  </si>
  <si>
    <t>ГБУЗ РБ Месягутовская ЦРБ</t>
  </si>
  <si>
    <t>ГБУЗ РБ Белокатайская ЦРБ</t>
  </si>
  <si>
    <t>ГБУЗ РБ Большеустьикинская ЦРБ</t>
  </si>
  <si>
    <t>ГБУЗ РБ Кигинская ЦРБ</t>
  </si>
  <si>
    <t>ГБУЗ РБ Малоязовская ЦРБ</t>
  </si>
  <si>
    <t>ООО Стоматологическая клиника "ПАЛИТРАДЕНТ"</t>
  </si>
  <si>
    <t>ГБУЗ РБ ЦГБ г. Сибай</t>
  </si>
  <si>
    <t>ГАУЗ РБ Стоматологическая поликлиника г.Сибай</t>
  </si>
  <si>
    <t>ГБУЗ РБ Баймакская ЦГБ</t>
  </si>
  <si>
    <t>ГБУЗ РБ Акъярская ЦРБ</t>
  </si>
  <si>
    <t>ГБУЗ РБ Зилаирская ЦРБ</t>
  </si>
  <si>
    <t>ИП Искужин Р.Г.</t>
  </si>
  <si>
    <t>ООО "Медента"</t>
  </si>
  <si>
    <t>ГБУЗ РБ КБ № 1 г. Стерлитамак</t>
  </si>
  <si>
    <t>ГБУЗ РБ Городская больница № 2                     г. Стерлитамак</t>
  </si>
  <si>
    <t xml:space="preserve">ГБУЗ РБ ГБ № 3 г. Стерлитамак </t>
  </si>
  <si>
    <t>ГБУЗ РБ Городская больница № 4                    г. Стерлитамак</t>
  </si>
  <si>
    <t>Обособленное структурное подразделение ГБУЗ РБ Городская больница № 4  г. Стерлитамак ранее именуемое ГБУЗ РБ Стерлитамакская ЦРП</t>
  </si>
  <si>
    <t>ГБУЗ РБ ДБ г. Стерлитамак</t>
  </si>
  <si>
    <t xml:space="preserve">ГАУЗ РБ КВД г. Стерлитамак </t>
  </si>
  <si>
    <t>ГБУЗ РБ СП г.Стерлитамак</t>
  </si>
  <si>
    <t>НУЗ "Узловая больница на ст. Стерлитамак ОАО "РЖД"</t>
  </si>
  <si>
    <t>ГБУЗ РБ Ишимбайская ЦРБ</t>
  </si>
  <si>
    <t xml:space="preserve">ГБУЗ РБ ГБ г. Кумертау </t>
  </si>
  <si>
    <t>Обособленное структурное подразделение ГБУЗ РБ ГБ г. Кумертау  ранее именуемое ГБУЗ РБ Ермолаевская ЦРБ</t>
  </si>
  <si>
    <t>ГБУЗ РБ Мелеузовская ЦРБ</t>
  </si>
  <si>
    <t xml:space="preserve">ГБУЗ РБ ГБ г. Салават </t>
  </si>
  <si>
    <t xml:space="preserve">Обособленное структурное подразделение ГБУЗ РБ ГБ г. Салават ранее именуемое ГБУЗ РБ Детская ГБ г. Салават </t>
  </si>
  <si>
    <t>АНО "Перинатальный центр"</t>
  </si>
  <si>
    <t>ГБУЗ РБ Стоматологическая поликлиника г.Салават</t>
  </si>
  <si>
    <t>ГАУЗ РБ КВД г. Салават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</si>
  <si>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</si>
  <si>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</si>
  <si>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</si>
  <si>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</si>
  <si>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</si>
  <si>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</si>
  <si>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ООО СП "Берёзка"</t>
  </si>
  <si>
    <t>ООО "Медсервис" г. Салават</t>
  </si>
  <si>
    <t>ООО "ММОЦ"</t>
  </si>
  <si>
    <t>ГБУЗ РБ Туймазинская ЦРБ</t>
  </si>
  <si>
    <t>ГБУЗ РБ ГБ № 1 г. Октябрьский</t>
  </si>
  <si>
    <t>ГБУ РБ Стоматологическая поликлиника г.Октябрьский</t>
  </si>
  <si>
    <t>ГБУЗ РБ Бакалинская ЦРБ</t>
  </si>
  <si>
    <t>ГБУЗ РБ Верхнеяркеевская ЦРБ</t>
  </si>
  <si>
    <t>ГБУЗ РБ Шаранская ЦРБ</t>
  </si>
  <si>
    <t>ООО "Медсервис" с.Верхнеяркеево</t>
  </si>
  <si>
    <t>ГБУЗ РБ Детская поликлиника № 2 г. Уфа</t>
  </si>
  <si>
    <t>ГБУЗ РБ Детская поликлиника № 3 г. Уфа</t>
  </si>
  <si>
    <t>ГБУЗ РБ Детская поликлиника № 4 г. Уфа</t>
  </si>
  <si>
    <t xml:space="preserve">ГБУЗ РБ Детская поликлиника № 5 г. Уфа </t>
  </si>
  <si>
    <r>
      <t xml:space="preserve">ГБУЗ РБ </t>
    </r>
    <r>
      <rPr>
        <sz val="9"/>
        <color theme="1"/>
        <rFont val="Times New Roman"/>
        <family val="1"/>
        <charset val="204"/>
      </rPr>
      <t>Детская поликлиника № 6 г. Уфа</t>
    </r>
  </si>
  <si>
    <t>ГАУЗ РБ Детская СП №3 г.Уфа</t>
  </si>
  <si>
    <t>ГБУЗ РБ Детская СП №7 г.Уфа</t>
  </si>
  <si>
    <t xml:space="preserve">ГБУЗ РБ Поликлиника № 1 г. Уфа 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</si>
  <si>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</si>
  <si>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</si>
  <si>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</si>
  <si>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</si>
  <si>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</si>
  <si>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</si>
  <si>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</si>
  <si>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50 г. Уфа</t>
  </si>
  <si>
    <t>ГБУЗ РБ Поликлиника № 51 г. Уфа</t>
  </si>
  <si>
    <t>ГБУЗ РБ Поликлиника № 52 г. Уфа</t>
  </si>
  <si>
    <t>ГБУЗ РБ СП №1 г.Уфа</t>
  </si>
  <si>
    <t>ГБУЗ РБ СП №2 г.Уфа</t>
  </si>
  <si>
    <t>ГБУЗ  РБ СП №4 г.Уфа</t>
  </si>
  <si>
    <t>ГБУЗ РБ  СП №5 г.Уфа</t>
  </si>
  <si>
    <t>ГБУЗ РБ СП №6 г.Уфа</t>
  </si>
  <si>
    <t>ГАУЗ РБ СП №8 г.Уфа</t>
  </si>
  <si>
    <t>ГАУЗ РБ СП №9 г.Уфа</t>
  </si>
  <si>
    <t>ГБУЗ РБ ГКБ Демского района г. Уфы</t>
  </si>
  <si>
    <t>ГБУЗ РБ ГКБ № 5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</si>
  <si>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</si>
  <si>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</si>
  <si>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</si>
  <si>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</si>
  <si>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</si>
  <si>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 xml:space="preserve">ГБУЗ РБ ГДКБ № 17 г. Уфа </t>
  </si>
  <si>
    <t>ГБУЗ РБ ГКБ № 18 г. Уфа</t>
  </si>
  <si>
    <t xml:space="preserve">ГБУЗ РБ РД № 3 г. Уфа  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</si>
  <si>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</si>
  <si>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</si>
  <si>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</si>
  <si>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</si>
  <si>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</si>
  <si>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</si>
  <si>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</si>
  <si>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</si>
  <si>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</si>
  <si>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</si>
  <si>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ГБУ БНИЦ по пчеловодству и апитерапии</t>
  </si>
  <si>
    <t>НУЗ "Дорожный центр восстановительной медицины и реабилитации ОАО "РЖД"</t>
  </si>
  <si>
    <t>ФГБОУ ВО БГМУ Минздрава России</t>
  </si>
  <si>
    <t>ФГБОУ ВО БГМУ Минздрава России (стоматология)</t>
  </si>
  <si>
    <t>УФИЦ РАН</t>
  </si>
  <si>
    <t>ФКУЗ «МСЧ МВД России по РБ»</t>
  </si>
  <si>
    <t>АО "Медторгсервис"</t>
  </si>
  <si>
    <t>ООО "Арт-Лион"</t>
  </si>
  <si>
    <t>ООО "Дантист"</t>
  </si>
  <si>
    <t>ООО "ДЭНТА"</t>
  </si>
  <si>
    <t>ООО "Клиника Авиценна"</t>
  </si>
  <si>
    <t>ООО "Лаборатория гемодиализа"</t>
  </si>
  <si>
    <t>ООО "Мастер-Дент"</t>
  </si>
  <si>
    <t>ООО "МД Проект 2010""</t>
  </si>
  <si>
    <t>ООО "Медхелп"</t>
  </si>
  <si>
    <t>ООО "МЦ Семья"</t>
  </si>
  <si>
    <t>ООО "Семейный доктор"</t>
  </si>
  <si>
    <t>ООО "Сфера-Эстейт"</t>
  </si>
  <si>
    <t>ООО "УльтраМед"</t>
  </si>
  <si>
    <t xml:space="preserve">ООО "Экома" </t>
  </si>
  <si>
    <t>ООО "Эмидент"</t>
  </si>
  <si>
    <t>ООО "ЮНИСТ"</t>
  </si>
  <si>
    <t>ГБУЗ РКБ им.Г.Г. Куватова</t>
  </si>
  <si>
    <t>АУЗ РСП</t>
  </si>
  <si>
    <t>ГБУ "УфНИИ ГБ АН РБ"</t>
  </si>
  <si>
    <t>ГАУЗ РКВД № 1</t>
  </si>
  <si>
    <t xml:space="preserve">ГБУЗ "РДКБ" </t>
  </si>
  <si>
    <t>ГБУЗ "РКПЦ" МЗ РБ</t>
  </si>
  <si>
    <t>ГБУЗ РБ БСМП г.Уфа</t>
  </si>
  <si>
    <t xml:space="preserve">ГБУЗ РБ ГКБ № 21 г. Уфа </t>
  </si>
  <si>
    <t>Обособленное структурное подразделение ГБУЗ РБ ГКБ № 21 г. Уфа ранее именуемое ГБУЗ РБ Уфимская ЦРП</t>
  </si>
  <si>
    <t>ГБУЗ РБ ИКБ № 4 г.Уфа</t>
  </si>
  <si>
    <t>ФГБУ "ВЦГПХ" МЗ РФ</t>
  </si>
  <si>
    <t>Резерв</t>
  </si>
  <si>
    <t>Медицинская помощь за пределами РБ</t>
  </si>
  <si>
    <t>ИТОГО</t>
  </si>
  <si>
    <t>Пр.87</t>
  </si>
  <si>
    <t>Отклонение</t>
  </si>
  <si>
    <t>Амбулаторно-поликлиническая помощь в части посещений с профилактической целью на 2018 год.</t>
  </si>
  <si>
    <t>ВСЕГО</t>
  </si>
  <si>
    <t>Центр здоровья</t>
  </si>
  <si>
    <t xml:space="preserve">Диспансеризация взрослого населения </t>
  </si>
  <si>
    <t xml:space="preserve"> Диспансе-ризация детей- сирот</t>
  </si>
  <si>
    <t xml:space="preserve">Профилак-тический медосмотр взрослых </t>
  </si>
  <si>
    <t xml:space="preserve">Профилак-тический медосмотр несовершен-нолетних </t>
  </si>
  <si>
    <t>Гериатрия</t>
  </si>
  <si>
    <t>Консуль-тативные посещения</t>
  </si>
  <si>
    <t>Посещения МО, не имеющих прикрепленного населения</t>
  </si>
  <si>
    <t>Посещения МО, имеющих прикрепленное население</t>
  </si>
  <si>
    <t>1 этап (терапевт)</t>
  </si>
  <si>
    <t>2 этап</t>
  </si>
  <si>
    <t>первичный прием</t>
  </si>
  <si>
    <t>повторная консуль-тация</t>
  </si>
  <si>
    <t xml:space="preserve"> периодичностью 1 раз в 3 года</t>
  </si>
  <si>
    <t xml:space="preserve"> периодичностью 1 раз в 2 года</t>
  </si>
  <si>
    <t>Обособленное структурное подразделение ГБУЗ РБ ГБ г. Нефтекамск, ранее именуемое ГБУЗ РБ Агидельская ГБ</t>
  </si>
  <si>
    <t>ГБУЗ РБ Городская больница № 2               г. Стерлитамак</t>
  </si>
  <si>
    <t>ГБУЗ РБ Городская больница № 4              г. Стерлитамак</t>
  </si>
  <si>
    <t>Обособленное структурное подразделение ГБУЗ РБ Городская больница № 4                    г. Стерлитамак ранее именуемое ГБУЗ РБ Стерлитамакская ЦРП</t>
  </si>
  <si>
    <t>ГБУЗ РБ Городская инфекционная больница г. Стерлитамак</t>
  </si>
  <si>
    <t>Обособленное структурное подразделение ГБУЗ РБ ГБ г. Кумертау ранее именуемое ГБУЗ РБ Ермолаевская ЦРБ</t>
  </si>
  <si>
    <t>АНО "Перинатальный цент"</t>
  </si>
  <si>
    <t>ГБУЗ РКОД МЗ РБ</t>
  </si>
  <si>
    <t>ГБУЗ РКЦ</t>
  </si>
  <si>
    <t>ГБУЗ РМГЦ</t>
  </si>
  <si>
    <t>ГАУЗ РВФД</t>
  </si>
  <si>
    <t>ГБУЗ РКГВВ</t>
  </si>
  <si>
    <t>Обособленное структурное подразделение ГБУЗ РБ ГКБ № 21 г. Уфа  ранее именуемое ГБУЗ РБ Уфимская ЦРП</t>
  </si>
  <si>
    <t>ГБУЗ РБ ИКБ № 4 г. Уфа</t>
  </si>
  <si>
    <t>№ 86</t>
  </si>
  <si>
    <t>Объем и перечень видов ВМП, финансовое обеспечение которых осуществляется за счет средств ОМС, 
установленные Комиссией на 2018 год</t>
  </si>
  <si>
    <t>№ группы ВМП</t>
  </si>
  <si>
    <t>ФГБУ ВЦГПХ МЗ РФ</t>
  </si>
  <si>
    <t>ГБУЗ РБ ГБ Салават</t>
  </si>
  <si>
    <t>ГБУЗ РБ РД №3 г.Уфа</t>
  </si>
  <si>
    <t>ГБУЗ РБ ГКБ №10 г. Уфа</t>
  </si>
  <si>
    <t>ГБУЗ РБ ГКБ №13 г. Уфа</t>
  </si>
  <si>
    <t>ГБУЗ РБ ГДКБ №17 г. Уфа</t>
  </si>
  <si>
    <t>ГБУЗ РБ ГКБ №18 г. Уфа</t>
  </si>
  <si>
    <t>ГБУЗ РБ ГКБ №21 г. Уфа</t>
  </si>
  <si>
    <t>ГБУЗ РБ КБ №1 г. Стерлитамак</t>
  </si>
  <si>
    <t>ГБУ  "УфНИИ ГБ АН РБ"</t>
  </si>
  <si>
    <t>ООО "МД Проект 2010"</t>
  </si>
  <si>
    <t>ГБУЗ РКВД №1</t>
  </si>
  <si>
    <t>ГБУЗ РКБ им. Г.Г.Куватова</t>
  </si>
  <si>
    <t>ГБУЗ "РДКБ"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</si>
  <si>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</si>
  <si>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</si>
  <si>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</si>
  <si>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</si>
  <si>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</si>
  <si>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</si>
  <si>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</si>
  <si>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</si>
  <si>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</si>
  <si>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</si>
  <si>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</si>
  <si>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</si>
  <si>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</si>
  <si>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</si>
  <si>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</si>
  <si>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</si>
  <si>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</si>
  <si>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</si>
  <si>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</si>
  <si>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</si>
  <si>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Плановое количество сеансов заместительной почечной терапии методами гемодиализа и перитонеального диализа на 2018 год.</t>
  </si>
  <si>
    <t>(процедуры)</t>
  </si>
  <si>
    <t>Итого</t>
  </si>
  <si>
    <t>Объемы (сеансы), в том числе</t>
  </si>
  <si>
    <t>для пациентов с ОПН в условиях круглосуточного стационара</t>
  </si>
  <si>
    <t>для пациентов с ХПН в условиях круглосуточного стационара</t>
  </si>
  <si>
    <t>для пациентов с ОПН в амбулатор-ных условиях</t>
  </si>
  <si>
    <t>для пациентов с ХПН в амбулаторных условиях</t>
  </si>
  <si>
    <t>для пациентов с ХПН в условиях дневного стационара</t>
  </si>
  <si>
    <t>в условиях круглосуточного стационара</t>
  </si>
  <si>
    <t>в  АПУ</t>
  </si>
  <si>
    <t>в условиях дневного  стационара</t>
  </si>
  <si>
    <t>гемодиализ интермитти-рующий низкопо-точный (А18.05.002; А18.05.002.002)</t>
  </si>
  <si>
    <t>гемодиализ интермит-тирующий высоко-поточный (А18.05.002.001)</t>
  </si>
  <si>
    <t>услуги диализа, оказываемые в отделениях фильтрации</t>
  </si>
  <si>
    <t>гемодиализ интермит-тирующий высокопоточный (А18.05.002.001)</t>
  </si>
  <si>
    <t>гемодиа-фильтрация (А18.05.011)</t>
  </si>
  <si>
    <t>перитонеаль-ный диализ      при  нарушении ультрафиль-трации (А18.30.001.003)</t>
  </si>
  <si>
    <t>гемофильтрация крови продленная (А18.05.003.001)</t>
  </si>
  <si>
    <t>селективная гемосорбция липополи-сахаридов  (А18.05.006.001)</t>
  </si>
  <si>
    <t>ГБУЗ РКБ им. Г.Г. Куватова</t>
  </si>
  <si>
    <t>ГБУЗ РБ ГБ г.Нефтекамск</t>
  </si>
  <si>
    <t>ГБУЗ РДКБ</t>
  </si>
  <si>
    <t>ГБУЗ РБ БСМП  г. Уфа</t>
  </si>
  <si>
    <t>ГБУЗ РБ КБ №1 г.Стерлитамак</t>
  </si>
  <si>
    <t>ООО "Лаборатория Гемодиализа"</t>
  </si>
  <si>
    <t>ООО "Экома"</t>
  </si>
  <si>
    <t>ООО "Сфера Эстейт"</t>
  </si>
  <si>
    <t>Прирост регистра пациентов (10%)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</si>
</sst>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" fillId="0" borderId="0"/>
    <xf numFmtId="0" fontId="19" fillId="0" borderId="0"/>
  </cellStyleXfs>
  <cellXfs count="108">
    <xf numFmtId="0" fontId="0" fillId="0" borderId="0" xfId="0"/>
    <xf numFmtId="0" fontId="3" fillId="2" borderId="0" xfId="0" applyFont="1" applyFill="1"/>
    <xf numFmtId="0" fontId="5" fillId="2" borderId="0" xfId="0" applyFont="1" applyFill="1"/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4" fontId="8" fillId="2" borderId="3" xfId="1" applyNumberFormat="1" applyFont="1" applyFill="1" applyBorder="1" applyAlignment="1">
      <alignment horizontal="left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" fontId="8" fillId="2" borderId="3" xfId="0" applyNumberFormat="1" applyFont="1" applyFill="1" applyBorder="1" applyAlignment="1">
      <alignment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3" fontId="11" fillId="2" borderId="3" xfId="0" applyNumberFormat="1" applyFont="1" applyFill="1" applyBorder="1"/>
    <xf numFmtId="0" fontId="3" fillId="2" borderId="3" xfId="0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3" fontId="1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9" fillId="2" borderId="0" xfId="0" applyNumberFormat="1" applyFont="1" applyFill="1"/>
    <xf numFmtId="3" fontId="3" fillId="2" borderId="0" xfId="0" applyNumberFormat="1" applyFont="1" applyFill="1"/>
    <xf numFmtId="0" fontId="0" fillId="0" borderId="0" xfId="0" applyFill="1"/>
    <xf numFmtId="0" fontId="13" fillId="0" borderId="0" xfId="0" applyFont="1" applyFill="1" applyAlignment="1">
      <alignment horizontal="justify" vertic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0" xfId="0" applyFont="1" applyFill="1"/>
    <xf numFmtId="3" fontId="6" fillId="0" borderId="3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3" fontId="14" fillId="0" borderId="0" xfId="0" applyNumberFormat="1" applyFont="1" applyFill="1"/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11" fillId="0" borderId="3" xfId="0" applyNumberFormat="1" applyFont="1" applyFill="1" applyBorder="1"/>
    <xf numFmtId="3" fontId="12" fillId="0" borderId="3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left"/>
    </xf>
    <xf numFmtId="3" fontId="17" fillId="0" borderId="0" xfId="0" applyNumberFormat="1" applyFont="1" applyFill="1"/>
    <xf numFmtId="0" fontId="5" fillId="0" borderId="3" xfId="0" applyFont="1" applyFill="1" applyBorder="1"/>
    <xf numFmtId="3" fontId="18" fillId="0" borderId="3" xfId="0" applyNumberFormat="1" applyFont="1" applyFill="1" applyBorder="1"/>
    <xf numFmtId="3" fontId="0" fillId="0" borderId="0" xfId="0" applyNumberFormat="1" applyFill="1"/>
    <xf numFmtId="0" fontId="19" fillId="2" borderId="0" xfId="4" applyFill="1"/>
    <xf numFmtId="0" fontId="21" fillId="2" borderId="3" xfId="4" applyFont="1" applyFill="1" applyBorder="1" applyAlignment="1">
      <alignment horizontal="center" vertical="center" wrapText="1"/>
    </xf>
    <xf numFmtId="0" fontId="22" fillId="2" borderId="3" xfId="4" applyFont="1" applyFill="1" applyBorder="1" applyAlignment="1">
      <alignment horizontal="center" textRotation="90" wrapText="1"/>
    </xf>
    <xf numFmtId="3" fontId="23" fillId="2" borderId="5" xfId="4" applyNumberFormat="1" applyFont="1" applyFill="1" applyBorder="1" applyAlignment="1">
      <alignment horizontal="center" vertical="center" wrapText="1"/>
    </xf>
    <xf numFmtId="3" fontId="3" fillId="2" borderId="3" xfId="4" applyNumberFormat="1" applyFont="1" applyFill="1" applyBorder="1" applyAlignment="1">
      <alignment horizontal="center"/>
    </xf>
    <xf numFmtId="3" fontId="23" fillId="2" borderId="2" xfId="4" applyNumberFormat="1" applyFont="1" applyFill="1" applyBorder="1" applyAlignment="1">
      <alignment horizontal="center" vertical="center" wrapText="1"/>
    </xf>
    <xf numFmtId="3" fontId="3" fillId="2" borderId="3" xfId="4" applyNumberFormat="1" applyFont="1" applyFill="1" applyBorder="1" applyAlignment="1" applyProtection="1">
      <alignment horizontal="center"/>
      <protection locked="0"/>
    </xf>
    <xf numFmtId="3" fontId="24" fillId="2" borderId="3" xfId="4" applyNumberFormat="1" applyFont="1" applyFill="1" applyBorder="1" applyAlignment="1" applyProtection="1">
      <alignment horizontal="center"/>
      <protection locked="0"/>
    </xf>
    <xf numFmtId="3" fontId="23" fillId="2" borderId="3" xfId="4" applyNumberFormat="1" applyFont="1" applyFill="1" applyBorder="1" applyAlignment="1">
      <alignment horizontal="center" vertical="center" wrapText="1"/>
    </xf>
    <xf numFmtId="3" fontId="23" fillId="2" borderId="7" xfId="4" applyNumberFormat="1" applyFont="1" applyFill="1" applyBorder="1" applyAlignment="1">
      <alignment horizontal="center" vertical="center" wrapText="1"/>
    </xf>
    <xf numFmtId="3" fontId="25" fillId="2" borderId="5" xfId="4" applyNumberFormat="1" applyFont="1" applyFill="1" applyBorder="1" applyAlignment="1">
      <alignment horizontal="center" vertical="center" wrapText="1"/>
    </xf>
    <xf numFmtId="3" fontId="25" fillId="2" borderId="3" xfId="4" applyNumberFormat="1" applyFont="1" applyFill="1" applyBorder="1" applyAlignment="1">
      <alignment horizontal="center" vertical="center" wrapText="1"/>
    </xf>
    <xf numFmtId="0" fontId="26" fillId="2" borderId="0" xfId="4" applyFont="1" applyFill="1"/>
    <xf numFmtId="0" fontId="5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3" fontId="28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14" fillId="2" borderId="0" xfId="0" applyNumberFormat="1" applyFont="1" applyFill="1"/>
    <xf numFmtId="4" fontId="15" fillId="2" borderId="3" xfId="0" applyNumberFormat="1" applyFont="1" applyFill="1" applyBorder="1" applyAlignment="1">
      <alignment wrapText="1"/>
    </xf>
    <xf numFmtId="3" fontId="15" fillId="2" borderId="3" xfId="0" applyNumberFormat="1" applyFont="1" applyFill="1" applyBorder="1" applyAlignment="1">
      <alignment horizontal="center" vertical="center"/>
    </xf>
    <xf numFmtId="3" fontId="16" fillId="2" borderId="0" xfId="0" applyNumberFormat="1" applyFont="1" applyFill="1"/>
    <xf numFmtId="0" fontId="14" fillId="2" borderId="0" xfId="0" applyFont="1" applyFill="1"/>
    <xf numFmtId="4" fontId="15" fillId="2" borderId="3" xfId="1" applyNumberFormat="1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10" xfId="2"/>
    <cellStyle name="Обычный 3" xfId="4"/>
    <cellStyle name="Обычный_Ежемесячный отчет 2004 г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zoomScale="120" zoomScaleNormal="120" workbookViewId="0">
      <pane xSplit="2" ySplit="7" topLeftCell="C166" activePane="bottomRight" state="frozen"/>
      <selection pane="topRight" activeCell="C1" sqref="C1"/>
      <selection pane="bottomLeft" activeCell="A7" sqref="A7"/>
      <selection pane="bottomRight" activeCell="L173" sqref="L173"/>
    </sheetView>
  </sheetViews>
  <sheetFormatPr defaultRowHeight="15"/>
  <cols>
    <col min="1" max="1" width="3.5703125" style="1" customWidth="1"/>
    <col min="2" max="2" width="31.140625" style="22" customWidth="1"/>
    <col min="3" max="4" width="10.7109375" style="1" customWidth="1"/>
    <col min="5" max="5" width="9.140625" style="1"/>
    <col min="6" max="6" width="9.140625" style="25"/>
    <col min="7" max="7" width="9.140625" style="1"/>
    <col min="8" max="8" width="12.28515625" style="1" customWidth="1"/>
    <col min="9" max="9" width="9.140625" style="1"/>
    <col min="10" max="10" width="11.28515625" style="1" customWidth="1"/>
    <col min="11" max="16384" width="9.140625" style="1"/>
  </cols>
  <sheetData>
    <row r="1" spans="1:10" ht="18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31.5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s="2" customFormat="1" ht="12.75" customHeight="1">
      <c r="A3" s="74" t="s">
        <v>1</v>
      </c>
      <c r="B3" s="74" t="s">
        <v>2</v>
      </c>
      <c r="C3" s="74" t="s">
        <v>3</v>
      </c>
      <c r="D3" s="74" t="s">
        <v>4</v>
      </c>
      <c r="E3" s="81" t="s">
        <v>5</v>
      </c>
      <c r="F3" s="81"/>
      <c r="G3" s="81"/>
      <c r="H3" s="81"/>
      <c r="I3" s="81"/>
      <c r="J3" s="81"/>
    </row>
    <row r="4" spans="1:10" s="2" customFormat="1" ht="12" customHeight="1">
      <c r="A4" s="80"/>
      <c r="B4" s="80"/>
      <c r="C4" s="80"/>
      <c r="D4" s="80"/>
      <c r="E4" s="74" t="s">
        <v>6</v>
      </c>
      <c r="F4" s="81" t="s">
        <v>7</v>
      </c>
      <c r="G4" s="81"/>
      <c r="H4" s="81"/>
      <c r="I4" s="81"/>
      <c r="J4" s="81"/>
    </row>
    <row r="5" spans="1:10" s="2" customFormat="1" ht="33" customHeight="1">
      <c r="A5" s="80"/>
      <c r="B5" s="80"/>
      <c r="C5" s="80"/>
      <c r="D5" s="80"/>
      <c r="E5" s="80"/>
      <c r="F5" s="82" t="s">
        <v>8</v>
      </c>
      <c r="G5" s="83"/>
      <c r="H5" s="74" t="s">
        <v>9</v>
      </c>
      <c r="I5" s="74" t="s">
        <v>10</v>
      </c>
      <c r="J5" s="76" t="s">
        <v>11</v>
      </c>
    </row>
    <row r="6" spans="1:10" s="2" customFormat="1" ht="45">
      <c r="A6" s="75"/>
      <c r="B6" s="75"/>
      <c r="C6" s="75"/>
      <c r="D6" s="75"/>
      <c r="E6" s="75"/>
      <c r="F6" s="3" t="s">
        <v>12</v>
      </c>
      <c r="G6" s="4" t="s">
        <v>13</v>
      </c>
      <c r="H6" s="75"/>
      <c r="I6" s="75"/>
      <c r="J6" s="77"/>
    </row>
    <row r="7" spans="1:10" ht="11.25" customHeight="1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6">
        <v>10</v>
      </c>
    </row>
    <row r="8" spans="1:10" ht="10.5" customHeight="1">
      <c r="A8" s="5">
        <v>1</v>
      </c>
      <c r="B8" s="7" t="s">
        <v>14</v>
      </c>
      <c r="C8" s="8">
        <f>50339+250+250</f>
        <v>50839</v>
      </c>
      <c r="D8" s="8"/>
      <c r="E8" s="8">
        <f>F8+G8+H8+I8+J8</f>
        <v>175954</v>
      </c>
      <c r="F8" s="8">
        <v>34901</v>
      </c>
      <c r="G8" s="8">
        <v>138817</v>
      </c>
      <c r="H8" s="8"/>
      <c r="I8" s="8">
        <v>2236</v>
      </c>
      <c r="J8" s="8"/>
    </row>
    <row r="9" spans="1:10" ht="10.5" customHeight="1">
      <c r="A9" s="5">
        <v>2</v>
      </c>
      <c r="B9" s="7" t="s">
        <v>15</v>
      </c>
      <c r="C9" s="8">
        <v>22449</v>
      </c>
      <c r="D9" s="8"/>
      <c r="E9" s="8">
        <f t="shared" ref="E9:E81" si="0">F9+G9+H9+I9+J9</f>
        <v>77611</v>
      </c>
      <c r="F9" s="8">
        <v>16174</v>
      </c>
      <c r="G9" s="8">
        <v>61437</v>
      </c>
      <c r="H9" s="8"/>
      <c r="I9" s="8"/>
      <c r="J9" s="8"/>
    </row>
    <row r="10" spans="1:10" ht="10.5" customHeight="1">
      <c r="A10" s="5">
        <v>3</v>
      </c>
      <c r="B10" s="7" t="s">
        <v>16</v>
      </c>
      <c r="C10" s="8">
        <v>12956</v>
      </c>
      <c r="D10" s="8"/>
      <c r="E10" s="8">
        <f t="shared" si="0"/>
        <v>47643</v>
      </c>
      <c r="F10" s="8">
        <v>8551</v>
      </c>
      <c r="G10" s="8">
        <v>39092</v>
      </c>
      <c r="H10" s="8"/>
      <c r="I10" s="8"/>
      <c r="J10" s="8"/>
    </row>
    <row r="11" spans="1:10" ht="10.5" customHeight="1">
      <c r="A11" s="5">
        <v>4</v>
      </c>
      <c r="B11" s="7" t="s">
        <v>17</v>
      </c>
      <c r="C11" s="8">
        <v>8613</v>
      </c>
      <c r="D11" s="8"/>
      <c r="E11" s="8">
        <f t="shared" si="0"/>
        <v>29631</v>
      </c>
      <c r="F11" s="8">
        <f>6914-135</f>
        <v>6779</v>
      </c>
      <c r="G11" s="8">
        <v>22852</v>
      </c>
      <c r="H11" s="8"/>
      <c r="I11" s="8"/>
      <c r="J11" s="8"/>
    </row>
    <row r="12" spans="1:10" ht="10.5" customHeight="1">
      <c r="A12" s="5">
        <v>5</v>
      </c>
      <c r="B12" s="7" t="s">
        <v>18</v>
      </c>
      <c r="C12" s="8">
        <v>15782</v>
      </c>
      <c r="D12" s="8"/>
      <c r="E12" s="8">
        <f t="shared" si="0"/>
        <v>55878</v>
      </c>
      <c r="F12" s="8">
        <v>13525</v>
      </c>
      <c r="G12" s="8">
        <v>42353</v>
      </c>
      <c r="H12" s="8"/>
      <c r="I12" s="8"/>
      <c r="J12" s="8"/>
    </row>
    <row r="13" spans="1:10" ht="10.5" customHeight="1">
      <c r="A13" s="5">
        <v>6</v>
      </c>
      <c r="B13" s="7" t="s">
        <v>19</v>
      </c>
      <c r="C13" s="8">
        <v>24956</v>
      </c>
      <c r="D13" s="8"/>
      <c r="E13" s="8">
        <f t="shared" si="0"/>
        <v>86259</v>
      </c>
      <c r="F13" s="8">
        <v>19600</v>
      </c>
      <c r="G13" s="8">
        <v>66659</v>
      </c>
      <c r="H13" s="8"/>
      <c r="I13" s="8"/>
      <c r="J13" s="8"/>
    </row>
    <row r="14" spans="1:10" ht="10.5" customHeight="1">
      <c r="A14" s="5">
        <v>7</v>
      </c>
      <c r="B14" s="7" t="s">
        <v>20</v>
      </c>
      <c r="C14" s="8">
        <v>500</v>
      </c>
      <c r="D14" s="8"/>
      <c r="E14" s="8">
        <f t="shared" si="0"/>
        <v>400</v>
      </c>
      <c r="F14" s="8"/>
      <c r="G14" s="8"/>
      <c r="H14" s="8">
        <v>400</v>
      </c>
      <c r="I14" s="8"/>
      <c r="J14" s="8"/>
    </row>
    <row r="15" spans="1:10" ht="10.5" customHeight="1">
      <c r="A15" s="5">
        <v>8</v>
      </c>
      <c r="B15" s="7" t="s">
        <v>21</v>
      </c>
      <c r="C15" s="8">
        <v>500</v>
      </c>
      <c r="D15" s="8"/>
      <c r="E15" s="8">
        <f t="shared" si="0"/>
        <v>200</v>
      </c>
      <c r="F15" s="8"/>
      <c r="G15" s="8"/>
      <c r="H15" s="8">
        <v>200</v>
      </c>
      <c r="I15" s="8"/>
      <c r="J15" s="8"/>
    </row>
    <row r="16" spans="1:10" ht="10.5" customHeight="1">
      <c r="A16" s="5">
        <v>9</v>
      </c>
      <c r="B16" s="7" t="s">
        <v>22</v>
      </c>
      <c r="C16" s="8">
        <f>500-250-250</f>
        <v>0</v>
      </c>
      <c r="D16" s="8"/>
      <c r="E16" s="8">
        <f t="shared" si="0"/>
        <v>0</v>
      </c>
      <c r="F16" s="8"/>
      <c r="G16" s="8"/>
      <c r="H16" s="8">
        <f>500-500</f>
        <v>0</v>
      </c>
      <c r="I16" s="8"/>
      <c r="J16" s="8"/>
    </row>
    <row r="17" spans="1:10" ht="10.5" customHeight="1">
      <c r="A17" s="5">
        <v>10</v>
      </c>
      <c r="B17" s="7" t="s">
        <v>23</v>
      </c>
      <c r="C17" s="8">
        <v>500</v>
      </c>
      <c r="D17" s="8"/>
      <c r="E17" s="8">
        <f t="shared" si="0"/>
        <v>200</v>
      </c>
      <c r="F17" s="8"/>
      <c r="G17" s="8"/>
      <c r="H17" s="8">
        <v>200</v>
      </c>
      <c r="I17" s="8"/>
      <c r="J17" s="8"/>
    </row>
    <row r="18" spans="1:10" ht="10.5" customHeight="1">
      <c r="A18" s="5">
        <v>11</v>
      </c>
      <c r="B18" s="7" t="s">
        <v>24</v>
      </c>
      <c r="C18" s="8"/>
      <c r="D18" s="8"/>
      <c r="E18" s="8">
        <f t="shared" si="0"/>
        <v>200</v>
      </c>
      <c r="F18" s="8"/>
      <c r="G18" s="8"/>
      <c r="H18" s="8">
        <v>200</v>
      </c>
      <c r="I18" s="8"/>
      <c r="J18" s="8"/>
    </row>
    <row r="19" spans="1:10" ht="10.5" customHeight="1">
      <c r="A19" s="5">
        <v>12</v>
      </c>
      <c r="B19" s="7" t="s">
        <v>25</v>
      </c>
      <c r="C19" s="8"/>
      <c r="D19" s="8"/>
      <c r="E19" s="8">
        <f t="shared" si="0"/>
        <v>2000</v>
      </c>
      <c r="F19" s="8"/>
      <c r="G19" s="8"/>
      <c r="H19" s="8">
        <f>1500+500</f>
        <v>2000</v>
      </c>
      <c r="I19" s="8"/>
      <c r="J19" s="8"/>
    </row>
    <row r="20" spans="1:10" ht="10.5" customHeight="1">
      <c r="A20" s="5">
        <v>13</v>
      </c>
      <c r="B20" s="7" t="s">
        <v>26</v>
      </c>
      <c r="C20" s="8">
        <v>57740</v>
      </c>
      <c r="D20" s="8"/>
      <c r="E20" s="8">
        <f t="shared" si="0"/>
        <v>205185</v>
      </c>
      <c r="F20" s="8">
        <v>59381</v>
      </c>
      <c r="G20" s="8">
        <v>140270</v>
      </c>
      <c r="H20" s="8"/>
      <c r="I20" s="8">
        <v>5534</v>
      </c>
      <c r="J20" s="8"/>
    </row>
    <row r="21" spans="1:10" ht="10.5" customHeight="1">
      <c r="A21" s="5">
        <v>14</v>
      </c>
      <c r="B21" s="7" t="s">
        <v>27</v>
      </c>
      <c r="C21" s="8">
        <f>40919+218</f>
        <v>41137</v>
      </c>
      <c r="D21" s="8"/>
      <c r="E21" s="8">
        <f t="shared" si="0"/>
        <v>141494</v>
      </c>
      <c r="F21" s="8">
        <v>49615</v>
      </c>
      <c r="G21" s="8">
        <v>91879</v>
      </c>
      <c r="H21" s="8"/>
      <c r="I21" s="8"/>
      <c r="J21" s="8"/>
    </row>
    <row r="22" spans="1:10" ht="10.5" customHeight="1">
      <c r="A22" s="5">
        <v>15</v>
      </c>
      <c r="B22" s="7" t="s">
        <v>28</v>
      </c>
      <c r="C22" s="8">
        <v>23739</v>
      </c>
      <c r="D22" s="8"/>
      <c r="E22" s="8">
        <f t="shared" si="0"/>
        <v>81547</v>
      </c>
      <c r="F22" s="8">
        <v>10186</v>
      </c>
      <c r="G22" s="8">
        <v>71361</v>
      </c>
      <c r="H22" s="8"/>
      <c r="I22" s="8"/>
      <c r="J22" s="8"/>
    </row>
    <row r="23" spans="1:10" ht="10.5" customHeight="1">
      <c r="A23" s="5">
        <v>16</v>
      </c>
      <c r="B23" s="7" t="s">
        <v>29</v>
      </c>
      <c r="C23" s="8">
        <v>10235</v>
      </c>
      <c r="D23" s="8"/>
      <c r="E23" s="8">
        <f t="shared" si="0"/>
        <v>35433</v>
      </c>
      <c r="F23" s="8">
        <v>10617</v>
      </c>
      <c r="G23" s="8">
        <v>24816</v>
      </c>
      <c r="H23" s="8"/>
      <c r="I23" s="8"/>
      <c r="J23" s="8"/>
    </row>
    <row r="24" spans="1:10" ht="10.5" customHeight="1">
      <c r="A24" s="5">
        <v>17</v>
      </c>
      <c r="B24" s="7" t="s">
        <v>30</v>
      </c>
      <c r="C24" s="8"/>
      <c r="D24" s="8"/>
      <c r="E24" s="8">
        <f t="shared" si="0"/>
        <v>600</v>
      </c>
      <c r="F24" s="8"/>
      <c r="G24" s="8"/>
      <c r="H24" s="8">
        <f>600</f>
        <v>600</v>
      </c>
      <c r="I24" s="8"/>
      <c r="J24" s="8"/>
    </row>
    <row r="25" spans="1:10" ht="10.5" customHeight="1">
      <c r="A25" s="5">
        <v>18</v>
      </c>
      <c r="B25" s="7" t="s">
        <v>31</v>
      </c>
      <c r="C25" s="8">
        <v>8478</v>
      </c>
      <c r="D25" s="8"/>
      <c r="E25" s="8">
        <f t="shared" si="0"/>
        <v>29975</v>
      </c>
      <c r="F25" s="8">
        <v>7494</v>
      </c>
      <c r="G25" s="8">
        <v>22481</v>
      </c>
      <c r="H25" s="8"/>
      <c r="I25" s="8"/>
      <c r="J25" s="8"/>
    </row>
    <row r="26" spans="1:10" ht="10.5" customHeight="1">
      <c r="A26" s="5">
        <v>19</v>
      </c>
      <c r="B26" s="7" t="s">
        <v>32</v>
      </c>
      <c r="C26" s="8">
        <v>31182</v>
      </c>
      <c r="D26" s="8"/>
      <c r="E26" s="8">
        <f t="shared" si="0"/>
        <v>99336</v>
      </c>
      <c r="F26" s="8">
        <v>22463</v>
      </c>
      <c r="G26" s="8">
        <v>72675</v>
      </c>
      <c r="H26" s="8"/>
      <c r="I26" s="8">
        <v>4198</v>
      </c>
      <c r="J26" s="8"/>
    </row>
    <row r="27" spans="1:10" ht="23.25" customHeight="1">
      <c r="A27" s="5">
        <v>20</v>
      </c>
      <c r="B27" s="9" t="s">
        <v>33</v>
      </c>
      <c r="C27" s="8">
        <v>1100</v>
      </c>
      <c r="D27" s="8"/>
      <c r="E27" s="8">
        <f t="shared" si="0"/>
        <v>16424</v>
      </c>
      <c r="F27" s="8">
        <v>0</v>
      </c>
      <c r="G27" s="8">
        <v>0</v>
      </c>
      <c r="H27" s="8">
        <f>16500-76</f>
        <v>16424</v>
      </c>
      <c r="I27" s="8"/>
      <c r="J27" s="8"/>
    </row>
    <row r="28" spans="1:10" ht="10.5" customHeight="1">
      <c r="A28" s="5">
        <v>21</v>
      </c>
      <c r="B28" s="7" t="s">
        <v>34</v>
      </c>
      <c r="C28" s="8">
        <v>32329</v>
      </c>
      <c r="D28" s="8"/>
      <c r="E28" s="8">
        <f t="shared" si="0"/>
        <v>106575</v>
      </c>
      <c r="F28" s="8">
        <v>24192</v>
      </c>
      <c r="G28" s="8">
        <v>82383</v>
      </c>
      <c r="H28" s="8"/>
      <c r="I28" s="8"/>
      <c r="J28" s="8"/>
    </row>
    <row r="29" spans="1:10" ht="10.5" customHeight="1">
      <c r="A29" s="5">
        <v>22</v>
      </c>
      <c r="B29" s="7" t="s">
        <v>35</v>
      </c>
      <c r="C29" s="8">
        <v>1800</v>
      </c>
      <c r="D29" s="8"/>
      <c r="E29" s="8">
        <f t="shared" si="0"/>
        <v>10000</v>
      </c>
      <c r="F29" s="8">
        <v>0</v>
      </c>
      <c r="G29" s="8">
        <v>0</v>
      </c>
      <c r="H29" s="8">
        <v>10000</v>
      </c>
      <c r="I29" s="8"/>
      <c r="J29" s="8"/>
    </row>
    <row r="30" spans="1:10" ht="10.5" customHeight="1">
      <c r="A30" s="5">
        <v>23</v>
      </c>
      <c r="B30" s="7" t="s">
        <v>36</v>
      </c>
      <c r="C30" s="8">
        <v>75838</v>
      </c>
      <c r="D30" s="8"/>
      <c r="E30" s="8">
        <f t="shared" si="0"/>
        <v>260908</v>
      </c>
      <c r="F30" s="8">
        <v>61414</v>
      </c>
      <c r="G30" s="8">
        <v>192730</v>
      </c>
      <c r="H30" s="8"/>
      <c r="I30" s="8">
        <v>6764</v>
      </c>
      <c r="J30" s="8"/>
    </row>
    <row r="31" spans="1:10" s="12" customFormat="1" ht="48" customHeight="1">
      <c r="A31" s="5">
        <v>24</v>
      </c>
      <c r="B31" s="10" t="s">
        <v>37</v>
      </c>
      <c r="C31" s="11">
        <v>9839</v>
      </c>
      <c r="D31" s="11"/>
      <c r="E31" s="11">
        <f t="shared" si="0"/>
        <v>33992</v>
      </c>
      <c r="F31" s="11">
        <v>9255</v>
      </c>
      <c r="G31" s="11">
        <v>24737</v>
      </c>
      <c r="H31" s="11"/>
      <c r="I31" s="11"/>
      <c r="J31" s="11"/>
    </row>
    <row r="32" spans="1:10" ht="10.5" customHeight="1">
      <c r="A32" s="5">
        <v>25</v>
      </c>
      <c r="B32" s="7" t="s">
        <v>38</v>
      </c>
      <c r="C32" s="8">
        <v>25819</v>
      </c>
      <c r="D32" s="8"/>
      <c r="E32" s="8">
        <f t="shared" si="0"/>
        <v>89259</v>
      </c>
      <c r="F32" s="8">
        <v>27553</v>
      </c>
      <c r="G32" s="8">
        <v>61706</v>
      </c>
      <c r="H32" s="8"/>
      <c r="I32" s="8"/>
      <c r="J32" s="8"/>
    </row>
    <row r="33" spans="1:10" ht="10.5" customHeight="1">
      <c r="A33" s="5">
        <v>26</v>
      </c>
      <c r="B33" s="7" t="s">
        <v>39</v>
      </c>
      <c r="C33" s="8">
        <v>12066</v>
      </c>
      <c r="D33" s="8"/>
      <c r="E33" s="8">
        <f t="shared" si="0"/>
        <v>41720</v>
      </c>
      <c r="F33" s="8">
        <v>9122</v>
      </c>
      <c r="G33" s="8">
        <v>32598</v>
      </c>
      <c r="H33" s="8"/>
      <c r="I33" s="8"/>
      <c r="J33" s="8"/>
    </row>
    <row r="34" spans="1:10" ht="10.5" customHeight="1">
      <c r="A34" s="5">
        <v>27</v>
      </c>
      <c r="B34" s="7" t="s">
        <v>40</v>
      </c>
      <c r="C34" s="8">
        <v>11669</v>
      </c>
      <c r="D34" s="8"/>
      <c r="E34" s="8">
        <f t="shared" si="0"/>
        <v>40134</v>
      </c>
      <c r="F34" s="8">
        <f>8112</f>
        <v>8112</v>
      </c>
      <c r="G34" s="8">
        <v>32022</v>
      </c>
      <c r="H34" s="8"/>
      <c r="I34" s="8"/>
      <c r="J34" s="8"/>
    </row>
    <row r="35" spans="1:10" ht="10.5" customHeight="1">
      <c r="A35" s="5">
        <v>28</v>
      </c>
      <c r="B35" s="7" t="s">
        <v>41</v>
      </c>
      <c r="C35" s="8">
        <v>13368</v>
      </c>
      <c r="D35" s="8"/>
      <c r="E35" s="8">
        <f t="shared" si="0"/>
        <v>46191</v>
      </c>
      <c r="F35" s="8">
        <v>9880</v>
      </c>
      <c r="G35" s="8">
        <v>36311</v>
      </c>
      <c r="H35" s="8"/>
      <c r="I35" s="8"/>
      <c r="J35" s="8"/>
    </row>
    <row r="36" spans="1:10" ht="10.5" customHeight="1">
      <c r="A36" s="5">
        <v>29</v>
      </c>
      <c r="B36" s="7" t="s">
        <v>42</v>
      </c>
      <c r="C36" s="8">
        <v>13643</v>
      </c>
      <c r="D36" s="8"/>
      <c r="E36" s="8">
        <f t="shared" si="0"/>
        <v>47168</v>
      </c>
      <c r="F36" s="8">
        <v>10987</v>
      </c>
      <c r="G36" s="8">
        <v>36181</v>
      </c>
      <c r="H36" s="8"/>
      <c r="I36" s="8"/>
      <c r="J36" s="8"/>
    </row>
    <row r="37" spans="1:10" ht="10.5" customHeight="1">
      <c r="A37" s="5">
        <v>30</v>
      </c>
      <c r="B37" s="7" t="s">
        <v>43</v>
      </c>
      <c r="C37" s="8">
        <v>15174</v>
      </c>
      <c r="D37" s="8"/>
      <c r="E37" s="8">
        <f t="shared" si="0"/>
        <v>52469</v>
      </c>
      <c r="F37" s="8">
        <v>17380</v>
      </c>
      <c r="G37" s="8">
        <v>35089</v>
      </c>
      <c r="H37" s="8"/>
      <c r="I37" s="8"/>
      <c r="J37" s="8"/>
    </row>
    <row r="38" spans="1:10" ht="10.5" customHeight="1">
      <c r="A38" s="5">
        <v>31</v>
      </c>
      <c r="B38" s="7" t="s">
        <v>44</v>
      </c>
      <c r="C38" s="8">
        <v>14237</v>
      </c>
      <c r="D38" s="8"/>
      <c r="E38" s="8">
        <f t="shared" si="0"/>
        <v>48991</v>
      </c>
      <c r="F38" s="8">
        <f>7268-223</f>
        <v>7045</v>
      </c>
      <c r="G38" s="8">
        <v>41946</v>
      </c>
      <c r="H38" s="8"/>
      <c r="I38" s="8"/>
      <c r="J38" s="8"/>
    </row>
    <row r="39" spans="1:10" ht="10.5" customHeight="1">
      <c r="A39" s="5">
        <v>32</v>
      </c>
      <c r="B39" s="7" t="s">
        <v>45</v>
      </c>
      <c r="C39" s="8">
        <v>15237</v>
      </c>
      <c r="D39" s="8"/>
      <c r="E39" s="8">
        <f t="shared" si="0"/>
        <v>52841</v>
      </c>
      <c r="F39" s="8">
        <f>12401+166</f>
        <v>12567</v>
      </c>
      <c r="G39" s="8">
        <v>40274</v>
      </c>
      <c r="H39" s="8"/>
      <c r="I39" s="8"/>
      <c r="J39" s="8"/>
    </row>
    <row r="40" spans="1:10" ht="10.5" customHeight="1">
      <c r="A40" s="5">
        <v>33</v>
      </c>
      <c r="B40" s="7" t="s">
        <v>46</v>
      </c>
      <c r="C40" s="8">
        <v>14142</v>
      </c>
      <c r="D40" s="8"/>
      <c r="E40" s="8">
        <f t="shared" si="0"/>
        <v>48754</v>
      </c>
      <c r="F40" s="8">
        <f>10350-156</f>
        <v>10194</v>
      </c>
      <c r="G40" s="8">
        <v>38560</v>
      </c>
      <c r="H40" s="8"/>
      <c r="I40" s="8"/>
      <c r="J40" s="8"/>
    </row>
    <row r="41" spans="1:10" ht="10.5" customHeight="1">
      <c r="A41" s="5">
        <v>34</v>
      </c>
      <c r="B41" s="7" t="s">
        <v>47</v>
      </c>
      <c r="C41" s="8">
        <v>200</v>
      </c>
      <c r="D41" s="8"/>
      <c r="E41" s="8">
        <f t="shared" si="0"/>
        <v>1222</v>
      </c>
      <c r="F41" s="8"/>
      <c r="G41" s="8"/>
      <c r="H41" s="8">
        <v>1222</v>
      </c>
      <c r="I41" s="8"/>
      <c r="J41" s="8"/>
    </row>
    <row r="42" spans="1:10" ht="10.5" customHeight="1">
      <c r="A42" s="5">
        <v>35</v>
      </c>
      <c r="B42" s="7" t="s">
        <v>48</v>
      </c>
      <c r="C42" s="8">
        <v>200</v>
      </c>
      <c r="D42" s="8"/>
      <c r="E42" s="8">
        <f t="shared" si="0"/>
        <v>1222</v>
      </c>
      <c r="F42" s="8"/>
      <c r="G42" s="8"/>
      <c r="H42" s="8">
        <v>1222</v>
      </c>
      <c r="I42" s="8"/>
      <c r="J42" s="8"/>
    </row>
    <row r="43" spans="1:10" ht="10.5" customHeight="1">
      <c r="A43" s="5">
        <v>36</v>
      </c>
      <c r="B43" s="7" t="s">
        <v>49</v>
      </c>
      <c r="C43" s="8"/>
      <c r="D43" s="8"/>
      <c r="E43" s="8">
        <f t="shared" si="0"/>
        <v>1222</v>
      </c>
      <c r="F43" s="8"/>
      <c r="G43" s="8"/>
      <c r="H43" s="8">
        <v>1222</v>
      </c>
      <c r="I43" s="8"/>
      <c r="J43" s="8"/>
    </row>
    <row r="44" spans="1:10" ht="10.5" customHeight="1">
      <c r="A44" s="5">
        <v>37</v>
      </c>
      <c r="B44" s="7" t="s">
        <v>50</v>
      </c>
      <c r="C44" s="8"/>
      <c r="D44" s="8"/>
      <c r="E44" s="8">
        <f t="shared" si="0"/>
        <v>1222</v>
      </c>
      <c r="F44" s="8"/>
      <c r="G44" s="8"/>
      <c r="H44" s="8">
        <v>1222</v>
      </c>
      <c r="I44" s="8"/>
      <c r="J44" s="8"/>
    </row>
    <row r="45" spans="1:10" ht="10.5" customHeight="1">
      <c r="A45" s="5">
        <v>38</v>
      </c>
      <c r="B45" s="7" t="s">
        <v>51</v>
      </c>
      <c r="C45" s="8"/>
      <c r="D45" s="8"/>
      <c r="E45" s="8">
        <f t="shared" si="0"/>
        <v>0</v>
      </c>
      <c r="F45" s="8"/>
      <c r="G45" s="8"/>
      <c r="H45" s="8">
        <f>1500-1500</f>
        <v>0</v>
      </c>
      <c r="I45" s="8"/>
      <c r="J45" s="8"/>
    </row>
    <row r="46" spans="1:10" ht="10.5" customHeight="1">
      <c r="A46" s="5">
        <v>39</v>
      </c>
      <c r="B46" s="7" t="s">
        <v>52</v>
      </c>
      <c r="C46" s="8">
        <v>200</v>
      </c>
      <c r="D46" s="8"/>
      <c r="E46" s="8">
        <f t="shared" si="0"/>
        <v>1222</v>
      </c>
      <c r="F46" s="8"/>
      <c r="G46" s="8"/>
      <c r="H46" s="8">
        <v>1222</v>
      </c>
      <c r="I46" s="8"/>
      <c r="J46" s="8"/>
    </row>
    <row r="47" spans="1:10" ht="10.5" customHeight="1">
      <c r="A47" s="5">
        <v>40</v>
      </c>
      <c r="B47" s="7" t="s">
        <v>53</v>
      </c>
      <c r="C47" s="8"/>
      <c r="D47" s="8"/>
      <c r="E47" s="8">
        <f t="shared" si="0"/>
        <v>1200</v>
      </c>
      <c r="F47" s="8"/>
      <c r="G47" s="8"/>
      <c r="H47" s="8">
        <v>1200</v>
      </c>
      <c r="I47" s="8"/>
      <c r="J47" s="8"/>
    </row>
    <row r="48" spans="1:10" ht="10.5" customHeight="1">
      <c r="A48" s="5">
        <v>41</v>
      </c>
      <c r="B48" s="7" t="s">
        <v>54</v>
      </c>
      <c r="C48" s="8"/>
      <c r="D48" s="8"/>
      <c r="E48" s="8">
        <f t="shared" si="0"/>
        <v>0</v>
      </c>
      <c r="F48" s="8"/>
      <c r="G48" s="8"/>
      <c r="H48" s="8">
        <f>200-200</f>
        <v>0</v>
      </c>
      <c r="I48" s="8"/>
      <c r="J48" s="8"/>
    </row>
    <row r="49" spans="1:10" ht="10.5" customHeight="1">
      <c r="A49" s="5">
        <v>42</v>
      </c>
      <c r="B49" s="7" t="s">
        <v>55</v>
      </c>
      <c r="C49" s="8">
        <v>200</v>
      </c>
      <c r="D49" s="8"/>
      <c r="E49" s="8">
        <f t="shared" si="0"/>
        <v>1222</v>
      </c>
      <c r="F49" s="8"/>
      <c r="G49" s="8"/>
      <c r="H49" s="8">
        <v>1222</v>
      </c>
      <c r="I49" s="8"/>
      <c r="J49" s="8"/>
    </row>
    <row r="50" spans="1:10" ht="10.5" customHeight="1">
      <c r="A50" s="5">
        <v>43</v>
      </c>
      <c r="B50" s="7" t="s">
        <v>56</v>
      </c>
      <c r="C50" s="8"/>
      <c r="D50" s="8"/>
      <c r="E50" s="8">
        <f t="shared" si="0"/>
        <v>1050</v>
      </c>
      <c r="F50" s="8"/>
      <c r="G50" s="8"/>
      <c r="H50" s="8">
        <v>1050</v>
      </c>
      <c r="I50" s="8"/>
      <c r="J50" s="8"/>
    </row>
    <row r="51" spans="1:10" ht="10.5" customHeight="1">
      <c r="A51" s="5">
        <v>44</v>
      </c>
      <c r="B51" s="7" t="s">
        <v>57</v>
      </c>
      <c r="C51" s="8"/>
      <c r="D51" s="8"/>
      <c r="E51" s="8">
        <f t="shared" si="0"/>
        <v>1222</v>
      </c>
      <c r="F51" s="8"/>
      <c r="G51" s="8"/>
      <c r="H51" s="8">
        <v>1222</v>
      </c>
      <c r="I51" s="8"/>
      <c r="J51" s="8"/>
    </row>
    <row r="52" spans="1:10" ht="10.5" customHeight="1">
      <c r="A52" s="5">
        <v>45</v>
      </c>
      <c r="B52" s="7" t="s">
        <v>58</v>
      </c>
      <c r="C52" s="8">
        <v>16319</v>
      </c>
      <c r="D52" s="8"/>
      <c r="E52" s="8">
        <f t="shared" si="0"/>
        <v>59174</v>
      </c>
      <c r="F52" s="8">
        <v>11095</v>
      </c>
      <c r="G52" s="8">
        <v>45350</v>
      </c>
      <c r="H52" s="8"/>
      <c r="I52" s="8">
        <v>2729</v>
      </c>
      <c r="J52" s="8"/>
    </row>
    <row r="53" spans="1:10" ht="10.5" customHeight="1">
      <c r="A53" s="5">
        <v>46</v>
      </c>
      <c r="B53" s="7" t="s">
        <v>59</v>
      </c>
      <c r="C53" s="8">
        <v>10804</v>
      </c>
      <c r="D53" s="8"/>
      <c r="E53" s="8">
        <f t="shared" si="0"/>
        <v>37365</v>
      </c>
      <c r="F53" s="8">
        <v>9032</v>
      </c>
      <c r="G53" s="8">
        <v>28333</v>
      </c>
      <c r="H53" s="8"/>
      <c r="I53" s="8"/>
      <c r="J53" s="8"/>
    </row>
    <row r="54" spans="1:10" ht="10.5" customHeight="1">
      <c r="A54" s="5">
        <v>47</v>
      </c>
      <c r="B54" s="7" t="s">
        <v>60</v>
      </c>
      <c r="C54" s="8">
        <v>12955</v>
      </c>
      <c r="D54" s="8"/>
      <c r="E54" s="8">
        <f t="shared" si="0"/>
        <v>44800</v>
      </c>
      <c r="F54" s="8">
        <v>10621</v>
      </c>
      <c r="G54" s="8">
        <v>34179</v>
      </c>
      <c r="H54" s="8"/>
      <c r="I54" s="8"/>
      <c r="J54" s="8"/>
    </row>
    <row r="55" spans="1:10" ht="10.5" customHeight="1">
      <c r="A55" s="5">
        <v>48</v>
      </c>
      <c r="B55" s="7" t="s">
        <v>61</v>
      </c>
      <c r="C55" s="8">
        <v>10177</v>
      </c>
      <c r="D55" s="8"/>
      <c r="E55" s="8">
        <f t="shared" si="0"/>
        <v>34866</v>
      </c>
      <c r="F55" s="8">
        <f>9400-133</f>
        <v>9267</v>
      </c>
      <c r="G55" s="8">
        <v>25599</v>
      </c>
      <c r="H55" s="8"/>
      <c r="I55" s="8"/>
      <c r="J55" s="8"/>
    </row>
    <row r="56" spans="1:10" ht="10.5" customHeight="1">
      <c r="A56" s="5">
        <v>49</v>
      </c>
      <c r="B56" s="7" t="s">
        <v>62</v>
      </c>
      <c r="C56" s="8">
        <v>15035</v>
      </c>
      <c r="D56" s="8"/>
      <c r="E56" s="8">
        <f t="shared" si="0"/>
        <v>51999</v>
      </c>
      <c r="F56" s="8">
        <v>14777</v>
      </c>
      <c r="G56" s="8">
        <v>37222</v>
      </c>
      <c r="H56" s="8"/>
      <c r="I56" s="8"/>
      <c r="J56" s="8"/>
    </row>
    <row r="57" spans="1:10" ht="24" customHeight="1">
      <c r="A57" s="5">
        <v>50</v>
      </c>
      <c r="B57" s="9" t="s">
        <v>63</v>
      </c>
      <c r="C57" s="8"/>
      <c r="D57" s="8"/>
      <c r="E57" s="8">
        <f t="shared" si="0"/>
        <v>200</v>
      </c>
      <c r="F57" s="8"/>
      <c r="G57" s="8"/>
      <c r="H57" s="8">
        <v>200</v>
      </c>
      <c r="I57" s="8"/>
      <c r="J57" s="8"/>
    </row>
    <row r="58" spans="1:10" ht="10.5" customHeight="1">
      <c r="A58" s="5">
        <v>51</v>
      </c>
      <c r="B58" s="7" t="s">
        <v>64</v>
      </c>
      <c r="C58" s="8">
        <v>31448</v>
      </c>
      <c r="D58" s="8"/>
      <c r="E58" s="8">
        <f t="shared" si="0"/>
        <v>99824</v>
      </c>
      <c r="F58" s="8">
        <v>21301</v>
      </c>
      <c r="G58" s="8">
        <v>74690</v>
      </c>
      <c r="H58" s="8"/>
      <c r="I58" s="8">
        <v>3833</v>
      </c>
      <c r="J58" s="8"/>
    </row>
    <row r="59" spans="1:10" ht="27" customHeight="1">
      <c r="A59" s="5">
        <v>52</v>
      </c>
      <c r="B59" s="9" t="s">
        <v>65</v>
      </c>
      <c r="C59" s="8">
        <v>1800</v>
      </c>
      <c r="D59" s="8"/>
      <c r="E59" s="8">
        <f t="shared" si="0"/>
        <v>19000</v>
      </c>
      <c r="F59" s="8">
        <v>0</v>
      </c>
      <c r="G59" s="8">
        <v>0</v>
      </c>
      <c r="H59" s="8">
        <v>19000</v>
      </c>
      <c r="I59" s="8"/>
      <c r="J59" s="8"/>
    </row>
    <row r="60" spans="1:10" ht="10.5" customHeight="1">
      <c r="A60" s="5">
        <v>53</v>
      </c>
      <c r="B60" s="7" t="s">
        <v>66</v>
      </c>
      <c r="C60" s="8">
        <v>33203</v>
      </c>
      <c r="D60" s="8"/>
      <c r="E60" s="8">
        <f t="shared" si="0"/>
        <v>109382</v>
      </c>
      <c r="F60" s="8">
        <v>23049</v>
      </c>
      <c r="G60" s="8">
        <v>86333</v>
      </c>
      <c r="H60" s="8"/>
      <c r="I60" s="8"/>
      <c r="J60" s="8"/>
    </row>
    <row r="61" spans="1:10" ht="10.5" customHeight="1">
      <c r="A61" s="5">
        <v>54</v>
      </c>
      <c r="B61" s="7" t="s">
        <v>67</v>
      </c>
      <c r="C61" s="8">
        <v>17881</v>
      </c>
      <c r="D61" s="8"/>
      <c r="E61" s="8">
        <f t="shared" si="0"/>
        <v>61860</v>
      </c>
      <c r="F61" s="8">
        <v>12175</v>
      </c>
      <c r="G61" s="8">
        <v>49685</v>
      </c>
      <c r="H61" s="8"/>
      <c r="I61" s="8"/>
      <c r="J61" s="8"/>
    </row>
    <row r="62" spans="1:10" ht="10.5" customHeight="1">
      <c r="A62" s="5">
        <v>55</v>
      </c>
      <c r="B62" s="7" t="s">
        <v>68</v>
      </c>
      <c r="C62" s="8">
        <v>8775</v>
      </c>
      <c r="D62" s="8"/>
      <c r="E62" s="8">
        <f t="shared" si="0"/>
        <v>30343</v>
      </c>
      <c r="F62" s="8">
        <v>5542</v>
      </c>
      <c r="G62" s="8">
        <v>24801</v>
      </c>
      <c r="H62" s="8"/>
      <c r="I62" s="8"/>
      <c r="J62" s="8"/>
    </row>
    <row r="63" spans="1:10" ht="10.5" customHeight="1">
      <c r="A63" s="5">
        <v>56</v>
      </c>
      <c r="B63" s="7" t="s">
        <v>69</v>
      </c>
      <c r="C63" s="8"/>
      <c r="D63" s="8"/>
      <c r="E63" s="8">
        <f t="shared" si="0"/>
        <v>1500</v>
      </c>
      <c r="F63" s="8"/>
      <c r="G63" s="8">
        <v>0</v>
      </c>
      <c r="H63" s="8">
        <v>1500</v>
      </c>
      <c r="I63" s="8"/>
      <c r="J63" s="8"/>
    </row>
    <row r="64" spans="1:10" ht="10.5" customHeight="1">
      <c r="A64" s="5">
        <v>57</v>
      </c>
      <c r="B64" s="7" t="s">
        <v>70</v>
      </c>
      <c r="C64" s="8"/>
      <c r="D64" s="8"/>
      <c r="E64" s="8">
        <f t="shared" si="0"/>
        <v>4000</v>
      </c>
      <c r="F64" s="8"/>
      <c r="G64" s="8"/>
      <c r="H64" s="8">
        <v>4000</v>
      </c>
      <c r="I64" s="8"/>
      <c r="J64" s="8"/>
    </row>
    <row r="65" spans="1:10" ht="10.5" customHeight="1">
      <c r="A65" s="5">
        <v>58</v>
      </c>
      <c r="B65" s="7" t="s">
        <v>71</v>
      </c>
      <c r="C65" s="8">
        <v>31822</v>
      </c>
      <c r="D65" s="8">
        <v>6308</v>
      </c>
      <c r="E65" s="8">
        <f t="shared" si="0"/>
        <v>89440</v>
      </c>
      <c r="F65" s="8">
        <f>14225+326</f>
        <v>14551</v>
      </c>
      <c r="G65" s="8">
        <v>64696</v>
      </c>
      <c r="H65" s="8"/>
      <c r="I65" s="8">
        <v>10193</v>
      </c>
      <c r="J65" s="8"/>
    </row>
    <row r="66" spans="1:10" ht="22.5" customHeight="1">
      <c r="A66" s="5">
        <v>59</v>
      </c>
      <c r="B66" s="9" t="s">
        <v>72</v>
      </c>
      <c r="C66" s="8">
        <v>28451</v>
      </c>
      <c r="D66" s="8"/>
      <c r="E66" s="8">
        <f t="shared" si="0"/>
        <v>88617</v>
      </c>
      <c r="F66" s="8">
        <v>29685</v>
      </c>
      <c r="G66" s="8">
        <v>58932</v>
      </c>
      <c r="H66" s="8"/>
      <c r="I66" s="8"/>
      <c r="J66" s="8"/>
    </row>
    <row r="67" spans="1:10" ht="10.5" customHeight="1">
      <c r="A67" s="5">
        <v>60</v>
      </c>
      <c r="B67" s="9" t="s">
        <v>73</v>
      </c>
      <c r="C67" s="8">
        <v>33231</v>
      </c>
      <c r="D67" s="8"/>
      <c r="E67" s="8">
        <f t="shared" si="0"/>
        <v>94670</v>
      </c>
      <c r="F67" s="8">
        <v>31745</v>
      </c>
      <c r="G67" s="8">
        <v>62925</v>
      </c>
      <c r="H67" s="8"/>
      <c r="I67" s="8"/>
      <c r="J67" s="8"/>
    </row>
    <row r="68" spans="1:10" ht="22.5" customHeight="1">
      <c r="A68" s="5">
        <v>61</v>
      </c>
      <c r="B68" s="9" t="s">
        <v>74</v>
      </c>
      <c r="C68" s="8">
        <v>15178</v>
      </c>
      <c r="D68" s="8"/>
      <c r="E68" s="8">
        <f t="shared" si="0"/>
        <v>52956</v>
      </c>
      <c r="F68" s="8">
        <v>9650</v>
      </c>
      <c r="G68" s="8">
        <v>43306</v>
      </c>
      <c r="H68" s="8"/>
      <c r="I68" s="8"/>
      <c r="J68" s="8"/>
    </row>
    <row r="69" spans="1:10" s="12" customFormat="1" ht="48.75" customHeight="1">
      <c r="A69" s="5">
        <v>62</v>
      </c>
      <c r="B69" s="13" t="s">
        <v>75</v>
      </c>
      <c r="C69" s="11">
        <v>21536</v>
      </c>
      <c r="D69" s="11"/>
      <c r="E69" s="14">
        <f t="shared" si="0"/>
        <v>77839</v>
      </c>
      <c r="F69" s="11">
        <v>16356</v>
      </c>
      <c r="G69" s="11">
        <v>61483</v>
      </c>
      <c r="H69" s="11"/>
      <c r="I69" s="11"/>
      <c r="J69" s="11"/>
    </row>
    <row r="70" spans="1:10" ht="10.5" customHeight="1">
      <c r="A70" s="5">
        <v>63</v>
      </c>
      <c r="B70" s="7" t="s">
        <v>76</v>
      </c>
      <c r="C70" s="8">
        <v>22086</v>
      </c>
      <c r="D70" s="8"/>
      <c r="E70" s="8">
        <f t="shared" si="0"/>
        <v>87444</v>
      </c>
      <c r="F70" s="8">
        <v>16400</v>
      </c>
      <c r="G70" s="8">
        <v>71044</v>
      </c>
      <c r="H70" s="8"/>
      <c r="I70" s="8"/>
      <c r="J70" s="8"/>
    </row>
    <row r="71" spans="1:10" ht="10.5" customHeight="1">
      <c r="A71" s="5">
        <v>64</v>
      </c>
      <c r="B71" s="7" t="s">
        <v>77</v>
      </c>
      <c r="C71" s="8"/>
      <c r="D71" s="8"/>
      <c r="E71" s="8">
        <f t="shared" si="0"/>
        <v>11810</v>
      </c>
      <c r="F71" s="8"/>
      <c r="G71" s="8"/>
      <c r="H71" s="8">
        <v>11810</v>
      </c>
      <c r="I71" s="8"/>
      <c r="J71" s="8"/>
    </row>
    <row r="72" spans="1:10" ht="10.5" customHeight="1">
      <c r="A72" s="5">
        <v>65</v>
      </c>
      <c r="B72" s="7" t="s">
        <v>78</v>
      </c>
      <c r="C72" s="8">
        <v>11000</v>
      </c>
      <c r="D72" s="8"/>
      <c r="E72" s="8">
        <f t="shared" si="0"/>
        <v>71000</v>
      </c>
      <c r="F72" s="8"/>
      <c r="G72" s="8"/>
      <c r="H72" s="8">
        <v>71000</v>
      </c>
      <c r="I72" s="8"/>
      <c r="J72" s="8"/>
    </row>
    <row r="73" spans="1:10" ht="23.25" customHeight="1">
      <c r="A73" s="5">
        <v>66</v>
      </c>
      <c r="B73" s="9" t="s">
        <v>79</v>
      </c>
      <c r="C73" s="8">
        <v>3339</v>
      </c>
      <c r="D73" s="8"/>
      <c r="E73" s="8">
        <f t="shared" si="0"/>
        <v>10316</v>
      </c>
      <c r="F73" s="8">
        <v>4846</v>
      </c>
      <c r="G73" s="8">
        <v>5470</v>
      </c>
      <c r="H73" s="8"/>
      <c r="I73" s="8"/>
      <c r="J73" s="8"/>
    </row>
    <row r="74" spans="1:10" ht="10.5" customHeight="1">
      <c r="A74" s="5">
        <v>67</v>
      </c>
      <c r="B74" s="7" t="s">
        <v>80</v>
      </c>
      <c r="C74" s="8">
        <v>49115</v>
      </c>
      <c r="D74" s="8"/>
      <c r="E74" s="8">
        <f t="shared" si="0"/>
        <v>169788</v>
      </c>
      <c r="F74" s="8">
        <v>40920</v>
      </c>
      <c r="G74" s="8">
        <v>128868</v>
      </c>
      <c r="H74" s="8"/>
      <c r="I74" s="8"/>
      <c r="J74" s="8"/>
    </row>
    <row r="75" spans="1:10" ht="10.5" customHeight="1">
      <c r="A75" s="5">
        <v>68</v>
      </c>
      <c r="B75" s="7" t="s">
        <v>81</v>
      </c>
      <c r="C75" s="8">
        <v>36220</v>
      </c>
      <c r="D75" s="8"/>
      <c r="E75" s="8">
        <f t="shared" si="0"/>
        <v>131223</v>
      </c>
      <c r="F75" s="8">
        <v>41227</v>
      </c>
      <c r="G75" s="8">
        <v>83950</v>
      </c>
      <c r="H75" s="8"/>
      <c r="I75" s="8">
        <v>6046</v>
      </c>
      <c r="J75" s="8"/>
    </row>
    <row r="76" spans="1:10" s="12" customFormat="1" ht="48" customHeight="1">
      <c r="A76" s="5">
        <v>69</v>
      </c>
      <c r="B76" s="13" t="s">
        <v>82</v>
      </c>
      <c r="C76" s="11">
        <v>13317</v>
      </c>
      <c r="D76" s="11"/>
      <c r="E76" s="11">
        <f t="shared" si="0"/>
        <v>45826</v>
      </c>
      <c r="F76" s="11">
        <f>15237-216</f>
        <v>15021</v>
      </c>
      <c r="G76" s="11">
        <v>30805</v>
      </c>
      <c r="H76" s="11"/>
      <c r="I76" s="11"/>
      <c r="J76" s="11"/>
    </row>
    <row r="77" spans="1:10" ht="10.5" customHeight="1">
      <c r="A77" s="5">
        <v>70</v>
      </c>
      <c r="B77" s="7" t="s">
        <v>83</v>
      </c>
      <c r="C77" s="8">
        <v>46855</v>
      </c>
      <c r="D77" s="8"/>
      <c r="E77" s="8">
        <f t="shared" si="0"/>
        <v>161988</v>
      </c>
      <c r="F77" s="8">
        <v>33897</v>
      </c>
      <c r="G77" s="8">
        <v>128091</v>
      </c>
      <c r="H77" s="8"/>
      <c r="I77" s="8"/>
      <c r="J77" s="8"/>
    </row>
    <row r="78" spans="1:10" ht="10.5" customHeight="1">
      <c r="A78" s="5">
        <v>71</v>
      </c>
      <c r="B78" s="7" t="s">
        <v>84</v>
      </c>
      <c r="C78" s="8">
        <f>48621-878</f>
        <v>47743</v>
      </c>
      <c r="D78" s="8"/>
      <c r="E78" s="8">
        <f t="shared" si="0"/>
        <v>142677</v>
      </c>
      <c r="F78" s="8">
        <f>32478-14250</f>
        <v>18228</v>
      </c>
      <c r="G78" s="8">
        <v>120989</v>
      </c>
      <c r="H78" s="8">
        <v>0</v>
      </c>
      <c r="I78" s="8">
        <v>3460</v>
      </c>
      <c r="J78" s="8"/>
    </row>
    <row r="79" spans="1:10" s="15" customFormat="1" ht="45.75" customHeight="1">
      <c r="A79" s="5">
        <v>72</v>
      </c>
      <c r="B79" s="13" t="s">
        <v>85</v>
      </c>
      <c r="C79" s="11">
        <v>15702</v>
      </c>
      <c r="D79" s="11"/>
      <c r="E79" s="11">
        <f t="shared" si="0"/>
        <v>51182</v>
      </c>
      <c r="F79" s="11">
        <v>4938</v>
      </c>
      <c r="G79" s="11">
        <v>46244</v>
      </c>
      <c r="H79" s="11"/>
      <c r="I79" s="11"/>
      <c r="J79" s="11"/>
    </row>
    <row r="80" spans="1:10" s="15" customFormat="1" ht="15" customHeight="1">
      <c r="A80" s="5">
        <v>73</v>
      </c>
      <c r="B80" s="7" t="s">
        <v>86</v>
      </c>
      <c r="C80" s="11">
        <v>878</v>
      </c>
      <c r="D80" s="11"/>
      <c r="E80" s="11">
        <f t="shared" si="0"/>
        <v>14250</v>
      </c>
      <c r="F80" s="11">
        <v>14250</v>
      </c>
      <c r="G80" s="11"/>
      <c r="H80" s="11"/>
      <c r="I80" s="11"/>
      <c r="J80" s="11"/>
    </row>
    <row r="81" spans="1:16" ht="22.5" customHeight="1">
      <c r="A81" s="5">
        <v>74</v>
      </c>
      <c r="B81" s="9" t="s">
        <v>87</v>
      </c>
      <c r="C81" s="8">
        <v>5710</v>
      </c>
      <c r="D81" s="8"/>
      <c r="E81" s="11">
        <f t="shared" si="0"/>
        <v>30000</v>
      </c>
      <c r="F81" s="8"/>
      <c r="G81" s="8"/>
      <c r="H81" s="8">
        <v>30000</v>
      </c>
      <c r="I81" s="8"/>
      <c r="J81" s="8"/>
      <c r="K81" s="15"/>
      <c r="L81" s="15"/>
      <c r="M81" s="15"/>
      <c r="N81" s="15"/>
      <c r="O81" s="15"/>
      <c r="P81" s="15"/>
    </row>
    <row r="82" spans="1:16" ht="10.5" customHeight="1">
      <c r="A82" s="5">
        <v>75</v>
      </c>
      <c r="B82" s="7" t="s">
        <v>88</v>
      </c>
      <c r="C82" s="8"/>
      <c r="D82" s="8"/>
      <c r="E82" s="8">
        <f t="shared" ref="E82:E149" si="1">F82+G82+H82+I82+J82</f>
        <v>9500</v>
      </c>
      <c r="F82" s="8"/>
      <c r="G82" s="8"/>
      <c r="H82" s="8">
        <v>9500</v>
      </c>
      <c r="I82" s="8"/>
      <c r="J82" s="8"/>
    </row>
    <row r="83" spans="1:16" ht="10.5" customHeight="1">
      <c r="A83" s="5">
        <v>76</v>
      </c>
      <c r="B83" s="7" t="s">
        <v>89</v>
      </c>
      <c r="C83" s="8">
        <v>16040</v>
      </c>
      <c r="D83" s="8"/>
      <c r="E83" s="8">
        <f t="shared" si="1"/>
        <v>55479</v>
      </c>
      <c r="F83" s="8">
        <v>13753</v>
      </c>
      <c r="G83" s="8">
        <v>41726</v>
      </c>
      <c r="H83" s="8"/>
      <c r="I83" s="8"/>
      <c r="J83" s="8"/>
    </row>
    <row r="84" spans="1:16" ht="10.5" customHeight="1">
      <c r="A84" s="5">
        <v>77</v>
      </c>
      <c r="B84" s="7" t="s">
        <v>90</v>
      </c>
      <c r="C84" s="8">
        <v>19608</v>
      </c>
      <c r="D84" s="8"/>
      <c r="E84" s="8">
        <f t="shared" si="1"/>
        <v>67815</v>
      </c>
      <c r="F84" s="8">
        <v>24503</v>
      </c>
      <c r="G84" s="8">
        <v>43312</v>
      </c>
      <c r="H84" s="8"/>
      <c r="I84" s="8"/>
      <c r="J84" s="8"/>
    </row>
    <row r="85" spans="1:16" ht="10.5" customHeight="1">
      <c r="A85" s="5">
        <v>78</v>
      </c>
      <c r="B85" s="7" t="s">
        <v>91</v>
      </c>
      <c r="C85" s="8">
        <v>17907</v>
      </c>
      <c r="D85" s="8"/>
      <c r="E85" s="8">
        <f t="shared" si="1"/>
        <v>61928</v>
      </c>
      <c r="F85" s="8">
        <v>14375</v>
      </c>
      <c r="G85" s="8">
        <v>47553</v>
      </c>
      <c r="H85" s="8"/>
      <c r="I85" s="8"/>
      <c r="J85" s="8"/>
    </row>
    <row r="86" spans="1:16" ht="10.5" customHeight="1">
      <c r="A86" s="5">
        <v>79</v>
      </c>
      <c r="B86" s="7" t="s">
        <v>92</v>
      </c>
      <c r="C86" s="8">
        <v>11485</v>
      </c>
      <c r="D86" s="8"/>
      <c r="E86" s="8">
        <f t="shared" si="1"/>
        <v>39610</v>
      </c>
      <c r="F86" s="8">
        <f>9017-87</f>
        <v>8930</v>
      </c>
      <c r="G86" s="8">
        <v>30680</v>
      </c>
      <c r="H86" s="8"/>
      <c r="I86" s="8"/>
      <c r="J86" s="8"/>
    </row>
    <row r="87" spans="1:16" ht="10.5" customHeight="1">
      <c r="A87" s="5">
        <v>80</v>
      </c>
      <c r="B87" s="7" t="s">
        <v>93</v>
      </c>
      <c r="C87" s="8">
        <v>19941</v>
      </c>
      <c r="D87" s="8"/>
      <c r="E87" s="8">
        <f t="shared" si="1"/>
        <v>68926</v>
      </c>
      <c r="F87" s="8">
        <v>17880</v>
      </c>
      <c r="G87" s="8">
        <v>51046</v>
      </c>
      <c r="H87" s="8"/>
      <c r="I87" s="8"/>
      <c r="J87" s="8"/>
    </row>
    <row r="88" spans="1:16" ht="10.5" customHeight="1">
      <c r="A88" s="5">
        <v>81</v>
      </c>
      <c r="B88" s="7" t="s">
        <v>94</v>
      </c>
      <c r="C88" s="8">
        <v>9540</v>
      </c>
      <c r="D88" s="8"/>
      <c r="E88" s="8">
        <f t="shared" si="1"/>
        <v>32969</v>
      </c>
      <c r="F88" s="8">
        <v>7154</v>
      </c>
      <c r="G88" s="8">
        <v>25815</v>
      </c>
      <c r="H88" s="8"/>
      <c r="I88" s="8"/>
      <c r="J88" s="8"/>
    </row>
    <row r="89" spans="1:16" ht="10.5" customHeight="1">
      <c r="A89" s="5">
        <v>82</v>
      </c>
      <c r="B89" s="7" t="s">
        <v>95</v>
      </c>
      <c r="C89" s="8"/>
      <c r="D89" s="8"/>
      <c r="E89" s="8">
        <f t="shared" si="1"/>
        <v>2500</v>
      </c>
      <c r="F89" s="8"/>
      <c r="G89" s="8"/>
      <c r="H89" s="8">
        <v>2500</v>
      </c>
      <c r="I89" s="8"/>
      <c r="J89" s="8"/>
    </row>
    <row r="90" spans="1:16" ht="10.5" customHeight="1">
      <c r="A90" s="5">
        <v>83</v>
      </c>
      <c r="B90" s="7" t="s">
        <v>96</v>
      </c>
      <c r="C90" s="8">
        <v>7900</v>
      </c>
      <c r="D90" s="8"/>
      <c r="E90" s="8">
        <f t="shared" si="1"/>
        <v>25182</v>
      </c>
      <c r="F90" s="8">
        <v>9127</v>
      </c>
      <c r="G90" s="8">
        <v>16055</v>
      </c>
      <c r="H90" s="8"/>
      <c r="I90" s="8"/>
      <c r="J90" s="8"/>
    </row>
    <row r="91" spans="1:16" ht="10.5" customHeight="1">
      <c r="A91" s="5">
        <v>84</v>
      </c>
      <c r="B91" s="7" t="s">
        <v>97</v>
      </c>
      <c r="C91" s="8"/>
      <c r="D91" s="8"/>
      <c r="E91" s="8">
        <f t="shared" si="1"/>
        <v>2000</v>
      </c>
      <c r="F91" s="8"/>
      <c r="G91" s="8"/>
      <c r="H91" s="8"/>
      <c r="I91" s="8">
        <v>2000</v>
      </c>
      <c r="J91" s="8"/>
    </row>
    <row r="92" spans="1:16" ht="10.5" customHeight="1">
      <c r="A92" s="5">
        <v>85</v>
      </c>
      <c r="B92" s="7" t="s">
        <v>98</v>
      </c>
      <c r="C92" s="8">
        <v>71184</v>
      </c>
      <c r="D92" s="8"/>
      <c r="E92" s="8">
        <f t="shared" si="1"/>
        <v>246126</v>
      </c>
      <c r="F92" s="8">
        <v>52711</v>
      </c>
      <c r="G92" s="8">
        <v>193415</v>
      </c>
      <c r="H92" s="8"/>
      <c r="I92" s="8"/>
      <c r="J92" s="8"/>
    </row>
    <row r="93" spans="1:16" ht="10.5" customHeight="1">
      <c r="A93" s="5">
        <v>86</v>
      </c>
      <c r="B93" s="7" t="s">
        <v>99</v>
      </c>
      <c r="C93" s="8">
        <v>55741</v>
      </c>
      <c r="D93" s="8"/>
      <c r="E93" s="8">
        <f t="shared" si="1"/>
        <v>183220</v>
      </c>
      <c r="F93" s="8">
        <v>22997</v>
      </c>
      <c r="G93" s="8">
        <v>152384</v>
      </c>
      <c r="H93" s="8"/>
      <c r="I93" s="8">
        <v>7839</v>
      </c>
      <c r="J93" s="8"/>
    </row>
    <row r="94" spans="1:16" ht="24.75" customHeight="1">
      <c r="A94" s="5">
        <v>87</v>
      </c>
      <c r="B94" s="9" t="s">
        <v>100</v>
      </c>
      <c r="C94" s="8">
        <v>3000</v>
      </c>
      <c r="D94" s="8"/>
      <c r="E94" s="8">
        <f t="shared" si="1"/>
        <v>27693</v>
      </c>
      <c r="F94" s="8">
        <v>0</v>
      </c>
      <c r="G94" s="8">
        <v>0</v>
      </c>
      <c r="H94" s="8">
        <v>27693</v>
      </c>
      <c r="I94" s="8"/>
      <c r="J94" s="8"/>
    </row>
    <row r="95" spans="1:16" ht="10.5" customHeight="1">
      <c r="A95" s="5">
        <v>88</v>
      </c>
      <c r="B95" s="7" t="s">
        <v>101</v>
      </c>
      <c r="C95" s="8">
        <v>16256</v>
      </c>
      <c r="D95" s="8"/>
      <c r="E95" s="8">
        <f t="shared" si="1"/>
        <v>56186</v>
      </c>
      <c r="F95" s="8">
        <v>11651</v>
      </c>
      <c r="G95" s="8">
        <v>44535</v>
      </c>
      <c r="H95" s="8"/>
      <c r="I95" s="8"/>
      <c r="J95" s="8"/>
    </row>
    <row r="96" spans="1:16" ht="10.5" customHeight="1">
      <c r="A96" s="5">
        <v>89</v>
      </c>
      <c r="B96" s="7" t="s">
        <v>102</v>
      </c>
      <c r="C96" s="8">
        <v>18728</v>
      </c>
      <c r="D96" s="8"/>
      <c r="E96" s="8">
        <f t="shared" si="1"/>
        <v>64541</v>
      </c>
      <c r="F96" s="8">
        <v>13726</v>
      </c>
      <c r="G96" s="8">
        <v>50815</v>
      </c>
      <c r="H96" s="8"/>
      <c r="I96" s="8"/>
      <c r="J96" s="8"/>
    </row>
    <row r="97" spans="1:10" ht="10.5" customHeight="1">
      <c r="A97" s="5">
        <v>90</v>
      </c>
      <c r="B97" s="7" t="s">
        <v>103</v>
      </c>
      <c r="C97" s="8">
        <v>12715</v>
      </c>
      <c r="D97" s="8"/>
      <c r="E97" s="8">
        <f t="shared" si="1"/>
        <v>43959</v>
      </c>
      <c r="F97" s="8">
        <v>8544</v>
      </c>
      <c r="G97" s="8">
        <v>35415</v>
      </c>
      <c r="H97" s="8"/>
      <c r="I97" s="8"/>
      <c r="J97" s="8"/>
    </row>
    <row r="98" spans="1:10" ht="10.5" customHeight="1">
      <c r="A98" s="5">
        <v>91</v>
      </c>
      <c r="B98" s="7" t="s">
        <v>104</v>
      </c>
      <c r="C98" s="8"/>
      <c r="D98" s="8"/>
      <c r="E98" s="8">
        <f t="shared" si="1"/>
        <v>200</v>
      </c>
      <c r="F98" s="8"/>
      <c r="G98" s="8"/>
      <c r="H98" s="8">
        <v>200</v>
      </c>
      <c r="I98" s="8"/>
      <c r="J98" s="8"/>
    </row>
    <row r="99" spans="1:10" ht="10.5" customHeight="1">
      <c r="A99" s="5">
        <v>92</v>
      </c>
      <c r="B99" s="7" t="s">
        <v>105</v>
      </c>
      <c r="C99" s="8">
        <v>13244</v>
      </c>
      <c r="D99" s="8"/>
      <c r="E99" s="8">
        <f t="shared" si="1"/>
        <v>68484</v>
      </c>
      <c r="F99" s="8">
        <v>14396</v>
      </c>
      <c r="G99" s="8">
        <v>54088</v>
      </c>
      <c r="H99" s="8"/>
      <c r="I99" s="8"/>
      <c r="J99" s="8"/>
    </row>
    <row r="100" spans="1:10" ht="10.5" customHeight="1">
      <c r="A100" s="5">
        <v>93</v>
      </c>
      <c r="B100" s="7" t="s">
        <v>106</v>
      </c>
      <c r="C100" s="8">
        <v>11229</v>
      </c>
      <c r="D100" s="8"/>
      <c r="E100" s="8">
        <f t="shared" si="1"/>
        <v>58057</v>
      </c>
      <c r="F100" s="8">
        <v>11307</v>
      </c>
      <c r="G100" s="8">
        <v>46750</v>
      </c>
      <c r="H100" s="8"/>
      <c r="I100" s="8"/>
      <c r="J100" s="8"/>
    </row>
    <row r="101" spans="1:10" ht="10.5" customHeight="1">
      <c r="A101" s="5">
        <v>94</v>
      </c>
      <c r="B101" s="7" t="s">
        <v>107</v>
      </c>
      <c r="C101" s="8">
        <v>22324</v>
      </c>
      <c r="D101" s="8">
        <v>7164</v>
      </c>
      <c r="E101" s="8">
        <f t="shared" si="1"/>
        <v>78393</v>
      </c>
      <c r="F101" s="8">
        <v>17930</v>
      </c>
      <c r="G101" s="8">
        <v>60463</v>
      </c>
      <c r="H101" s="8"/>
      <c r="I101" s="8"/>
      <c r="J101" s="8"/>
    </row>
    <row r="102" spans="1:10" ht="10.5" customHeight="1">
      <c r="A102" s="5">
        <v>95</v>
      </c>
      <c r="B102" s="7" t="s">
        <v>108</v>
      </c>
      <c r="C102" s="8">
        <v>25750</v>
      </c>
      <c r="D102" s="8">
        <v>6921</v>
      </c>
      <c r="E102" s="8">
        <f t="shared" si="1"/>
        <v>97365</v>
      </c>
      <c r="F102" s="8">
        <v>24565</v>
      </c>
      <c r="G102" s="8">
        <v>72800</v>
      </c>
      <c r="H102" s="8"/>
      <c r="I102" s="8"/>
      <c r="J102" s="8"/>
    </row>
    <row r="103" spans="1:10" ht="10.5" customHeight="1">
      <c r="A103" s="5">
        <v>96</v>
      </c>
      <c r="B103" s="7" t="s">
        <v>109</v>
      </c>
      <c r="C103" s="8">
        <v>7236</v>
      </c>
      <c r="D103" s="8"/>
      <c r="E103" s="8">
        <f t="shared" si="1"/>
        <v>35497</v>
      </c>
      <c r="F103" s="8">
        <v>7288</v>
      </c>
      <c r="G103" s="8">
        <v>28209</v>
      </c>
      <c r="H103" s="8"/>
      <c r="I103" s="8"/>
      <c r="J103" s="8"/>
    </row>
    <row r="104" spans="1:10" ht="10.5" customHeight="1">
      <c r="A104" s="5">
        <v>97</v>
      </c>
      <c r="B104" s="7" t="s">
        <v>110</v>
      </c>
      <c r="C104" s="8">
        <v>0</v>
      </c>
      <c r="D104" s="8"/>
      <c r="E104" s="8">
        <f t="shared" si="1"/>
        <v>23000</v>
      </c>
      <c r="F104" s="8">
        <v>0</v>
      </c>
      <c r="G104" s="8">
        <v>0</v>
      </c>
      <c r="H104" s="8">
        <v>23000</v>
      </c>
      <c r="I104" s="8"/>
      <c r="J104" s="8"/>
    </row>
    <row r="105" spans="1:10" ht="10.5" customHeight="1">
      <c r="A105" s="5">
        <v>98</v>
      </c>
      <c r="B105" s="7" t="s">
        <v>111</v>
      </c>
      <c r="C105" s="8">
        <v>9223</v>
      </c>
      <c r="D105" s="8"/>
      <c r="E105" s="8">
        <f t="shared" si="1"/>
        <v>33800</v>
      </c>
      <c r="F105" s="8">
        <v>0</v>
      </c>
      <c r="G105" s="8">
        <v>0</v>
      </c>
      <c r="H105" s="8">
        <v>33800</v>
      </c>
      <c r="I105" s="8"/>
      <c r="J105" s="8"/>
    </row>
    <row r="106" spans="1:10" ht="10.5" customHeight="1">
      <c r="A106" s="5">
        <v>99</v>
      </c>
      <c r="B106" s="7" t="s">
        <v>112</v>
      </c>
      <c r="C106" s="8">
        <v>25633</v>
      </c>
      <c r="D106" s="8"/>
      <c r="E106" s="8">
        <f t="shared" si="1"/>
        <v>102076</v>
      </c>
      <c r="F106" s="8">
        <v>24934</v>
      </c>
      <c r="G106" s="8">
        <v>77142</v>
      </c>
      <c r="H106" s="8"/>
      <c r="I106" s="8"/>
      <c r="J106" s="8"/>
    </row>
    <row r="107" spans="1:10" ht="10.5" customHeight="1">
      <c r="A107" s="5">
        <v>100</v>
      </c>
      <c r="B107" s="7" t="s">
        <v>113</v>
      </c>
      <c r="C107" s="8">
        <v>14891</v>
      </c>
      <c r="D107" s="8"/>
      <c r="E107" s="8">
        <f t="shared" si="1"/>
        <v>58569</v>
      </c>
      <c r="F107" s="8">
        <v>15707</v>
      </c>
      <c r="G107" s="8">
        <v>42862</v>
      </c>
      <c r="H107" s="8"/>
      <c r="I107" s="8"/>
      <c r="J107" s="8"/>
    </row>
    <row r="108" spans="1:10" ht="10.5" customHeight="1">
      <c r="A108" s="5">
        <v>101</v>
      </c>
      <c r="B108" s="7" t="s">
        <v>114</v>
      </c>
      <c r="C108" s="8">
        <v>14205</v>
      </c>
      <c r="D108" s="8"/>
      <c r="E108" s="8">
        <f t="shared" si="1"/>
        <v>70047</v>
      </c>
      <c r="F108" s="8">
        <v>15391</v>
      </c>
      <c r="G108" s="8">
        <v>50067</v>
      </c>
      <c r="H108" s="8"/>
      <c r="I108" s="8">
        <v>4589</v>
      </c>
      <c r="J108" s="8"/>
    </row>
    <row r="109" spans="1:10" ht="10.5" customHeight="1">
      <c r="A109" s="5">
        <v>102</v>
      </c>
      <c r="B109" s="7" t="s">
        <v>115</v>
      </c>
      <c r="C109" s="8">
        <v>10652</v>
      </c>
      <c r="D109" s="8"/>
      <c r="E109" s="8">
        <f t="shared" si="1"/>
        <v>42181</v>
      </c>
      <c r="F109" s="8">
        <v>11145</v>
      </c>
      <c r="G109" s="8">
        <v>31036</v>
      </c>
      <c r="H109" s="8"/>
      <c r="I109" s="8"/>
      <c r="J109" s="8"/>
    </row>
    <row r="110" spans="1:10" ht="10.5" customHeight="1">
      <c r="A110" s="5">
        <v>103</v>
      </c>
      <c r="B110" s="7" t="s">
        <v>116</v>
      </c>
      <c r="C110" s="8">
        <v>28037</v>
      </c>
      <c r="D110" s="8"/>
      <c r="E110" s="8">
        <f t="shared" si="1"/>
        <v>132455</v>
      </c>
      <c r="F110" s="8">
        <v>32521</v>
      </c>
      <c r="G110" s="8">
        <v>95520</v>
      </c>
      <c r="H110" s="8"/>
      <c r="I110" s="8">
        <v>4414</v>
      </c>
      <c r="J110" s="8"/>
    </row>
    <row r="111" spans="1:10" ht="10.5" customHeight="1">
      <c r="A111" s="5">
        <v>104</v>
      </c>
      <c r="B111" s="7" t="s">
        <v>117</v>
      </c>
      <c r="C111" s="8">
        <v>14319</v>
      </c>
      <c r="D111" s="8"/>
      <c r="E111" s="8">
        <f t="shared" si="1"/>
        <v>65391</v>
      </c>
      <c r="F111" s="8">
        <v>22163</v>
      </c>
      <c r="G111" s="8">
        <v>43228</v>
      </c>
      <c r="H111" s="8"/>
      <c r="I111" s="8"/>
      <c r="J111" s="8"/>
    </row>
    <row r="112" spans="1:10" ht="10.5" customHeight="1">
      <c r="A112" s="5">
        <v>105</v>
      </c>
      <c r="B112" s="7" t="s">
        <v>118</v>
      </c>
      <c r="C112" s="8">
        <v>16099</v>
      </c>
      <c r="D112" s="8"/>
      <c r="E112" s="8">
        <f t="shared" si="1"/>
        <v>64618</v>
      </c>
      <c r="F112" s="8">
        <v>18613</v>
      </c>
      <c r="G112" s="8">
        <v>46005</v>
      </c>
      <c r="H112" s="8"/>
      <c r="I112" s="8"/>
      <c r="J112" s="8"/>
    </row>
    <row r="113" spans="1:10" ht="10.5" customHeight="1">
      <c r="A113" s="5">
        <v>106</v>
      </c>
      <c r="B113" s="7" t="s">
        <v>119</v>
      </c>
      <c r="C113" s="8">
        <f>9726+80</f>
        <v>9806</v>
      </c>
      <c r="D113" s="8"/>
      <c r="E113" s="8">
        <f t="shared" si="1"/>
        <v>45170</v>
      </c>
      <c r="F113" s="8">
        <v>11996</v>
      </c>
      <c r="G113" s="8">
        <v>26427</v>
      </c>
      <c r="H113" s="8"/>
      <c r="I113" s="8">
        <v>6747</v>
      </c>
      <c r="J113" s="8"/>
    </row>
    <row r="114" spans="1:10" ht="10.5" customHeight="1">
      <c r="A114" s="5">
        <v>107</v>
      </c>
      <c r="B114" s="7" t="s">
        <v>120</v>
      </c>
      <c r="C114" s="8">
        <v>28199</v>
      </c>
      <c r="D114" s="8"/>
      <c r="E114" s="8">
        <f t="shared" si="1"/>
        <v>140458</v>
      </c>
      <c r="F114" s="8">
        <f>27795+2422</f>
        <v>30217</v>
      </c>
      <c r="G114" s="8">
        <v>104568</v>
      </c>
      <c r="H114" s="8"/>
      <c r="I114" s="8">
        <v>5673</v>
      </c>
      <c r="J114" s="8"/>
    </row>
    <row r="115" spans="1:10" ht="10.5" customHeight="1">
      <c r="A115" s="5">
        <v>108</v>
      </c>
      <c r="B115" s="7" t="s">
        <v>121</v>
      </c>
      <c r="C115" s="8">
        <v>12642</v>
      </c>
      <c r="D115" s="8"/>
      <c r="E115" s="8">
        <f t="shared" si="1"/>
        <v>50107</v>
      </c>
      <c r="F115" s="8">
        <v>14160</v>
      </c>
      <c r="G115" s="8">
        <v>35947</v>
      </c>
      <c r="H115" s="8"/>
      <c r="I115" s="8"/>
      <c r="J115" s="8"/>
    </row>
    <row r="116" spans="1:10" ht="10.5" customHeight="1">
      <c r="A116" s="5">
        <v>109</v>
      </c>
      <c r="B116" s="7" t="s">
        <v>122</v>
      </c>
      <c r="C116" s="8">
        <f>12398+102</f>
        <v>12500</v>
      </c>
      <c r="D116" s="8"/>
      <c r="E116" s="8">
        <f t="shared" si="1"/>
        <v>52069</v>
      </c>
      <c r="F116" s="8">
        <f>20050+208</f>
        <v>20258</v>
      </c>
      <c r="G116" s="8">
        <v>31811</v>
      </c>
      <c r="H116" s="8"/>
      <c r="I116" s="8"/>
      <c r="J116" s="8"/>
    </row>
    <row r="117" spans="1:10" ht="10.5" customHeight="1">
      <c r="A117" s="5">
        <v>110</v>
      </c>
      <c r="B117" s="7" t="s">
        <v>123</v>
      </c>
      <c r="C117" s="8"/>
      <c r="D117" s="8"/>
      <c r="E117" s="8">
        <f t="shared" si="1"/>
        <v>17970</v>
      </c>
      <c r="F117" s="8"/>
      <c r="G117" s="8"/>
      <c r="H117" s="8">
        <v>17970</v>
      </c>
      <c r="I117" s="8"/>
      <c r="J117" s="8"/>
    </row>
    <row r="118" spans="1:10" ht="10.5" customHeight="1">
      <c r="A118" s="5">
        <v>111</v>
      </c>
      <c r="B118" s="7" t="s">
        <v>124</v>
      </c>
      <c r="C118" s="8">
        <v>22500</v>
      </c>
      <c r="D118" s="8"/>
      <c r="E118" s="8">
        <f t="shared" si="1"/>
        <v>20733</v>
      </c>
      <c r="F118" s="8"/>
      <c r="G118" s="8"/>
      <c r="H118" s="8">
        <v>20733</v>
      </c>
      <c r="I118" s="8"/>
      <c r="J118" s="8"/>
    </row>
    <row r="119" spans="1:10" ht="10.5" customHeight="1">
      <c r="A119" s="5">
        <v>112</v>
      </c>
      <c r="B119" s="7" t="s">
        <v>125</v>
      </c>
      <c r="C119" s="8"/>
      <c r="D119" s="8"/>
      <c r="E119" s="8">
        <f t="shared" si="1"/>
        <v>22847</v>
      </c>
      <c r="F119" s="8"/>
      <c r="G119" s="8"/>
      <c r="H119" s="8">
        <v>22847</v>
      </c>
      <c r="I119" s="8"/>
      <c r="J119" s="8"/>
    </row>
    <row r="120" spans="1:10" ht="10.5" customHeight="1">
      <c r="A120" s="5">
        <v>113</v>
      </c>
      <c r="B120" s="7" t="s">
        <v>126</v>
      </c>
      <c r="C120" s="8"/>
      <c r="D120" s="8"/>
      <c r="E120" s="8">
        <f t="shared" si="1"/>
        <v>20599</v>
      </c>
      <c r="F120" s="8"/>
      <c r="G120" s="8"/>
      <c r="H120" s="8">
        <v>20599</v>
      </c>
      <c r="I120" s="8"/>
      <c r="J120" s="8"/>
    </row>
    <row r="121" spans="1:10" ht="10.5" customHeight="1">
      <c r="A121" s="5">
        <v>114</v>
      </c>
      <c r="B121" s="7" t="s">
        <v>127</v>
      </c>
      <c r="C121" s="8"/>
      <c r="D121" s="8"/>
      <c r="E121" s="8">
        <f t="shared" si="1"/>
        <v>30037</v>
      </c>
      <c r="F121" s="8"/>
      <c r="G121" s="8"/>
      <c r="H121" s="8">
        <v>30037</v>
      </c>
      <c r="I121" s="8"/>
      <c r="J121" s="8"/>
    </row>
    <row r="122" spans="1:10" ht="10.5" customHeight="1">
      <c r="A122" s="5">
        <v>115</v>
      </c>
      <c r="B122" s="7" t="s">
        <v>128</v>
      </c>
      <c r="C122" s="8"/>
      <c r="D122" s="8"/>
      <c r="E122" s="8">
        <f t="shared" si="1"/>
        <v>18501</v>
      </c>
      <c r="F122" s="8"/>
      <c r="G122" s="8"/>
      <c r="H122" s="8">
        <v>18501</v>
      </c>
      <c r="I122" s="8"/>
      <c r="J122" s="8"/>
    </row>
    <row r="123" spans="1:10" ht="10.5" customHeight="1">
      <c r="A123" s="5">
        <v>116</v>
      </c>
      <c r="B123" s="7" t="s">
        <v>129</v>
      </c>
      <c r="C123" s="8"/>
      <c r="D123" s="8"/>
      <c r="E123" s="8">
        <f t="shared" si="1"/>
        <v>15554</v>
      </c>
      <c r="F123" s="8"/>
      <c r="G123" s="8"/>
      <c r="H123" s="8">
        <v>15554</v>
      </c>
      <c r="I123" s="8"/>
      <c r="J123" s="8"/>
    </row>
    <row r="124" spans="1:10" ht="10.5" customHeight="1">
      <c r="A124" s="5">
        <v>117</v>
      </c>
      <c r="B124" s="7" t="s">
        <v>130</v>
      </c>
      <c r="C124" s="8">
        <v>36670</v>
      </c>
      <c r="D124" s="8">
        <v>8728</v>
      </c>
      <c r="E124" s="8">
        <f t="shared" si="1"/>
        <v>118772</v>
      </c>
      <c r="F124" s="8">
        <v>25000</v>
      </c>
      <c r="G124" s="8">
        <v>93772</v>
      </c>
      <c r="H124" s="8"/>
      <c r="I124" s="8"/>
      <c r="J124" s="8"/>
    </row>
    <row r="125" spans="1:10" ht="10.5" customHeight="1">
      <c r="A125" s="5">
        <v>118</v>
      </c>
      <c r="B125" s="7" t="s">
        <v>131</v>
      </c>
      <c r="C125" s="8">
        <v>39947</v>
      </c>
      <c r="D125" s="8">
        <v>23948</v>
      </c>
      <c r="E125" s="8">
        <f t="shared" si="1"/>
        <v>78850</v>
      </c>
      <c r="F125" s="8">
        <v>29000</v>
      </c>
      <c r="G125" s="8">
        <v>49850</v>
      </c>
      <c r="H125" s="8"/>
      <c r="I125" s="8"/>
      <c r="J125" s="8"/>
    </row>
    <row r="126" spans="1:10" ht="10.5" customHeight="1">
      <c r="A126" s="5">
        <v>119</v>
      </c>
      <c r="B126" s="7" t="s">
        <v>132</v>
      </c>
      <c r="C126" s="8">
        <v>13811</v>
      </c>
      <c r="D126" s="8"/>
      <c r="E126" s="8">
        <f t="shared" si="1"/>
        <v>69125</v>
      </c>
      <c r="F126" s="8">
        <v>14000</v>
      </c>
      <c r="G126" s="8">
        <v>55125</v>
      </c>
      <c r="H126" s="8"/>
      <c r="I126" s="8"/>
      <c r="J126" s="8"/>
    </row>
    <row r="127" spans="1:10" ht="10.5" customHeight="1">
      <c r="A127" s="5">
        <v>120</v>
      </c>
      <c r="B127" s="7" t="s">
        <v>133</v>
      </c>
      <c r="C127" s="8">
        <v>7588</v>
      </c>
      <c r="D127" s="8"/>
      <c r="E127" s="8">
        <f t="shared" si="1"/>
        <v>39112</v>
      </c>
      <c r="F127" s="8">
        <v>11670</v>
      </c>
      <c r="G127" s="8">
        <v>27442</v>
      </c>
      <c r="H127" s="8"/>
      <c r="I127" s="8"/>
      <c r="J127" s="8"/>
    </row>
    <row r="128" spans="1:10" ht="10.5" customHeight="1">
      <c r="A128" s="5">
        <v>121</v>
      </c>
      <c r="B128" s="7" t="s">
        <v>134</v>
      </c>
      <c r="C128" s="8">
        <v>41792</v>
      </c>
      <c r="D128" s="8">
        <v>38527</v>
      </c>
      <c r="E128" s="8">
        <f t="shared" si="1"/>
        <v>13026</v>
      </c>
      <c r="F128" s="8">
        <v>3046</v>
      </c>
      <c r="G128" s="8">
        <v>9980</v>
      </c>
      <c r="H128" s="8"/>
      <c r="I128" s="8"/>
      <c r="J128" s="8"/>
    </row>
    <row r="129" spans="1:10" ht="10.5" customHeight="1">
      <c r="A129" s="5">
        <v>122</v>
      </c>
      <c r="B129" s="7" t="s">
        <v>135</v>
      </c>
      <c r="C129" s="8">
        <v>6501</v>
      </c>
      <c r="D129" s="8"/>
      <c r="E129" s="8">
        <f t="shared" si="1"/>
        <v>33504</v>
      </c>
      <c r="F129" s="8">
        <v>9644</v>
      </c>
      <c r="G129" s="8">
        <v>23860</v>
      </c>
      <c r="H129" s="8"/>
      <c r="I129" s="8"/>
      <c r="J129" s="8"/>
    </row>
    <row r="130" spans="1:10" ht="10.5" customHeight="1">
      <c r="A130" s="5">
        <v>123</v>
      </c>
      <c r="B130" s="7" t="s">
        <v>136</v>
      </c>
      <c r="C130" s="8">
        <v>41388</v>
      </c>
      <c r="D130" s="8"/>
      <c r="E130" s="8">
        <f t="shared" si="1"/>
        <v>208637</v>
      </c>
      <c r="F130" s="8">
        <v>65000</v>
      </c>
      <c r="G130" s="8">
        <v>137865</v>
      </c>
      <c r="H130" s="8"/>
      <c r="I130" s="8">
        <v>5772</v>
      </c>
      <c r="J130" s="8"/>
    </row>
    <row r="131" spans="1:10" ht="10.5" customHeight="1">
      <c r="A131" s="5">
        <v>124</v>
      </c>
      <c r="B131" s="7" t="s">
        <v>137</v>
      </c>
      <c r="C131" s="8">
        <v>27600</v>
      </c>
      <c r="D131" s="8"/>
      <c r="E131" s="8">
        <f t="shared" si="1"/>
        <v>59356</v>
      </c>
      <c r="F131" s="8">
        <v>12488</v>
      </c>
      <c r="G131" s="8">
        <v>46868</v>
      </c>
      <c r="H131" s="8"/>
      <c r="I131" s="8"/>
      <c r="J131" s="8"/>
    </row>
    <row r="132" spans="1:10" ht="10.5" customHeight="1">
      <c r="A132" s="5">
        <v>125</v>
      </c>
      <c r="B132" s="7" t="s">
        <v>138</v>
      </c>
      <c r="C132" s="8">
        <v>15699</v>
      </c>
      <c r="D132" s="8"/>
      <c r="E132" s="8">
        <f t="shared" si="1"/>
        <v>79766</v>
      </c>
      <c r="F132" s="8">
        <v>20740</v>
      </c>
      <c r="G132" s="8">
        <v>59026</v>
      </c>
      <c r="H132" s="8"/>
      <c r="I132" s="8"/>
      <c r="J132" s="8"/>
    </row>
    <row r="133" spans="1:10" ht="10.5" customHeight="1">
      <c r="A133" s="5">
        <v>126</v>
      </c>
      <c r="B133" s="7" t="s">
        <v>139</v>
      </c>
      <c r="C133" s="8"/>
      <c r="D133" s="8"/>
      <c r="E133" s="8">
        <f t="shared" si="1"/>
        <v>36109</v>
      </c>
      <c r="F133" s="8"/>
      <c r="G133" s="8"/>
      <c r="H133" s="8">
        <v>36109</v>
      </c>
      <c r="I133" s="8"/>
      <c r="J133" s="8"/>
    </row>
    <row r="134" spans="1:10" ht="10.5" customHeight="1">
      <c r="A134" s="5">
        <v>127</v>
      </c>
      <c r="B134" s="7" t="s">
        <v>140</v>
      </c>
      <c r="C134" s="8">
        <v>26712</v>
      </c>
      <c r="D134" s="8"/>
      <c r="E134" s="8">
        <f t="shared" si="1"/>
        <v>93840</v>
      </c>
      <c r="F134" s="8">
        <v>18994</v>
      </c>
      <c r="G134" s="8">
        <v>74846</v>
      </c>
      <c r="H134" s="8"/>
      <c r="I134" s="8"/>
      <c r="J134" s="8"/>
    </row>
    <row r="135" spans="1:10" ht="10.5" customHeight="1">
      <c r="A135" s="5">
        <v>128</v>
      </c>
      <c r="B135" s="7" t="s">
        <v>141</v>
      </c>
      <c r="C135" s="8">
        <v>10952</v>
      </c>
      <c r="D135" s="8"/>
      <c r="E135" s="8">
        <f t="shared" si="1"/>
        <v>37869</v>
      </c>
      <c r="F135" s="8">
        <v>10997</v>
      </c>
      <c r="G135" s="8">
        <v>26872</v>
      </c>
      <c r="H135" s="8"/>
      <c r="I135" s="8"/>
      <c r="J135" s="8"/>
    </row>
    <row r="136" spans="1:10" ht="10.5" customHeight="1">
      <c r="A136" s="5">
        <v>129</v>
      </c>
      <c r="B136" s="7" t="s">
        <v>142</v>
      </c>
      <c r="C136" s="8">
        <v>16047</v>
      </c>
      <c r="D136" s="8"/>
      <c r="E136" s="8">
        <f t="shared" si="1"/>
        <v>55462</v>
      </c>
      <c r="F136" s="8">
        <v>12200</v>
      </c>
      <c r="G136" s="8">
        <v>43262</v>
      </c>
      <c r="H136" s="8"/>
      <c r="I136" s="8"/>
      <c r="J136" s="8"/>
    </row>
    <row r="137" spans="1:10" ht="10.5" customHeight="1">
      <c r="A137" s="5">
        <v>130</v>
      </c>
      <c r="B137" s="7" t="s">
        <v>143</v>
      </c>
      <c r="C137" s="8">
        <v>28381</v>
      </c>
      <c r="D137" s="8"/>
      <c r="E137" s="8">
        <f t="shared" si="1"/>
        <v>98164</v>
      </c>
      <c r="F137" s="8">
        <v>30123</v>
      </c>
      <c r="G137" s="8">
        <v>68041</v>
      </c>
      <c r="H137" s="8"/>
      <c r="I137" s="8"/>
      <c r="J137" s="8"/>
    </row>
    <row r="138" spans="1:10" ht="10.5" customHeight="1">
      <c r="A138" s="5">
        <v>131</v>
      </c>
      <c r="B138" s="7" t="s">
        <v>144</v>
      </c>
      <c r="C138" s="8">
        <v>26948</v>
      </c>
      <c r="D138" s="8"/>
      <c r="E138" s="8">
        <f t="shared" si="1"/>
        <v>93180</v>
      </c>
      <c r="F138" s="8">
        <v>17719</v>
      </c>
      <c r="G138" s="8">
        <v>75461</v>
      </c>
      <c r="H138" s="8"/>
      <c r="I138" s="8"/>
      <c r="J138" s="8"/>
    </row>
    <row r="139" spans="1:10" ht="10.5" customHeight="1">
      <c r="A139" s="5">
        <v>132</v>
      </c>
      <c r="B139" s="7" t="s">
        <v>145</v>
      </c>
      <c r="C139" s="8">
        <v>15845</v>
      </c>
      <c r="D139" s="8"/>
      <c r="E139" s="8">
        <f t="shared" si="1"/>
        <v>54673</v>
      </c>
      <c r="F139" s="8">
        <v>10408</v>
      </c>
      <c r="G139" s="8">
        <v>44265</v>
      </c>
      <c r="H139" s="8"/>
      <c r="I139" s="8"/>
      <c r="J139" s="8"/>
    </row>
    <row r="140" spans="1:10" ht="10.5" customHeight="1">
      <c r="A140" s="5">
        <v>133</v>
      </c>
      <c r="B140" s="7" t="s">
        <v>146</v>
      </c>
      <c r="C140" s="8">
        <v>11970</v>
      </c>
      <c r="D140" s="8"/>
      <c r="E140" s="8">
        <f t="shared" si="1"/>
        <v>41396</v>
      </c>
      <c r="F140" s="8">
        <v>10917</v>
      </c>
      <c r="G140" s="8">
        <v>30479</v>
      </c>
      <c r="H140" s="8"/>
      <c r="I140" s="8"/>
      <c r="J140" s="8"/>
    </row>
    <row r="141" spans="1:10" ht="10.5" customHeight="1">
      <c r="A141" s="5">
        <v>134</v>
      </c>
      <c r="B141" s="7" t="s">
        <v>147</v>
      </c>
      <c r="C141" s="8">
        <v>17025</v>
      </c>
      <c r="D141" s="8"/>
      <c r="E141" s="8">
        <f t="shared" si="1"/>
        <v>58846</v>
      </c>
      <c r="F141" s="8">
        <v>12035</v>
      </c>
      <c r="G141" s="8">
        <v>46811</v>
      </c>
      <c r="H141" s="8"/>
      <c r="I141" s="8"/>
      <c r="J141" s="8"/>
    </row>
    <row r="142" spans="1:10" ht="10.5" customHeight="1">
      <c r="A142" s="5">
        <v>135</v>
      </c>
      <c r="B142" s="7" t="s">
        <v>148</v>
      </c>
      <c r="C142" s="8">
        <v>28984</v>
      </c>
      <c r="D142" s="8"/>
      <c r="E142" s="8">
        <f t="shared" si="1"/>
        <v>100192</v>
      </c>
      <c r="F142" s="8">
        <v>23317</v>
      </c>
      <c r="G142" s="8">
        <v>76875</v>
      </c>
      <c r="H142" s="8"/>
      <c r="I142" s="8"/>
      <c r="J142" s="8"/>
    </row>
    <row r="143" spans="1:10" ht="10.5" customHeight="1">
      <c r="A143" s="5">
        <v>136</v>
      </c>
      <c r="B143" s="7" t="s">
        <v>149</v>
      </c>
      <c r="C143" s="8">
        <v>13658</v>
      </c>
      <c r="D143" s="8"/>
      <c r="E143" s="8">
        <f t="shared" si="1"/>
        <v>47218</v>
      </c>
      <c r="F143" s="8">
        <v>9435</v>
      </c>
      <c r="G143" s="8">
        <v>37783</v>
      </c>
      <c r="H143" s="8"/>
      <c r="I143" s="8"/>
      <c r="J143" s="8"/>
    </row>
    <row r="144" spans="1:10" ht="10.5" customHeight="1">
      <c r="A144" s="5">
        <v>137</v>
      </c>
      <c r="B144" s="9" t="s">
        <v>150</v>
      </c>
      <c r="C144" s="8"/>
      <c r="D144" s="8"/>
      <c r="E144" s="8">
        <f t="shared" si="1"/>
        <v>200</v>
      </c>
      <c r="F144" s="8">
        <v>0</v>
      </c>
      <c r="G144" s="8">
        <v>0</v>
      </c>
      <c r="H144" s="8">
        <v>200</v>
      </c>
      <c r="I144" s="8"/>
      <c r="J144" s="8"/>
    </row>
    <row r="145" spans="1:10" ht="24" customHeight="1">
      <c r="A145" s="5">
        <v>138</v>
      </c>
      <c r="B145" s="9" t="s">
        <v>151</v>
      </c>
      <c r="C145" s="8">
        <v>7111</v>
      </c>
      <c r="D145" s="8"/>
      <c r="E145" s="8">
        <f t="shared" si="1"/>
        <v>36654</v>
      </c>
      <c r="F145" s="8">
        <v>8384</v>
      </c>
      <c r="G145" s="8">
        <v>28270</v>
      </c>
      <c r="H145" s="8"/>
      <c r="I145" s="8"/>
      <c r="J145" s="8"/>
    </row>
    <row r="146" spans="1:10" ht="10.5" customHeight="1">
      <c r="A146" s="5">
        <v>139</v>
      </c>
      <c r="B146" s="7" t="s">
        <v>152</v>
      </c>
      <c r="C146" s="8">
        <v>3495</v>
      </c>
      <c r="D146" s="8"/>
      <c r="E146" s="8">
        <f t="shared" si="1"/>
        <v>12357</v>
      </c>
      <c r="F146" s="8">
        <v>2626</v>
      </c>
      <c r="G146" s="8">
        <v>9731</v>
      </c>
      <c r="H146" s="8"/>
      <c r="I146" s="8"/>
      <c r="J146" s="8"/>
    </row>
    <row r="147" spans="1:10" ht="21.75" customHeight="1">
      <c r="A147" s="5">
        <v>140</v>
      </c>
      <c r="B147" s="9" t="s">
        <v>153</v>
      </c>
      <c r="C147" s="8"/>
      <c r="D147" s="8"/>
      <c r="E147" s="8">
        <f t="shared" si="1"/>
        <v>5000</v>
      </c>
      <c r="F147" s="8">
        <v>0</v>
      </c>
      <c r="G147" s="8">
        <v>0</v>
      </c>
      <c r="H147" s="8">
        <v>5000</v>
      </c>
      <c r="I147" s="8"/>
      <c r="J147" s="8"/>
    </row>
    <row r="148" spans="1:10" ht="10.5" customHeight="1">
      <c r="A148" s="5">
        <v>141</v>
      </c>
      <c r="B148" s="7" t="s">
        <v>154</v>
      </c>
      <c r="C148" s="8">
        <v>2523</v>
      </c>
      <c r="D148" s="8"/>
      <c r="E148" s="8">
        <f t="shared" si="1"/>
        <v>9780</v>
      </c>
      <c r="F148" s="8">
        <v>2203</v>
      </c>
      <c r="G148" s="8">
        <v>7577</v>
      </c>
      <c r="H148" s="8"/>
      <c r="I148" s="8"/>
      <c r="J148" s="8"/>
    </row>
    <row r="149" spans="1:10" ht="10.5" customHeight="1">
      <c r="A149" s="5">
        <v>142</v>
      </c>
      <c r="B149" s="9" t="s">
        <v>155</v>
      </c>
      <c r="C149" s="8"/>
      <c r="D149" s="8"/>
      <c r="E149" s="8">
        <f t="shared" si="1"/>
        <v>1500</v>
      </c>
      <c r="F149" s="8"/>
      <c r="G149" s="8"/>
      <c r="H149" s="8">
        <v>1500</v>
      </c>
      <c r="I149" s="8"/>
      <c r="J149" s="8"/>
    </row>
    <row r="150" spans="1:10" ht="10.5" customHeight="1">
      <c r="A150" s="5">
        <v>143</v>
      </c>
      <c r="B150" s="9" t="s">
        <v>156</v>
      </c>
      <c r="C150" s="8"/>
      <c r="D150" s="8"/>
      <c r="E150" s="8">
        <f t="shared" ref="E150:E177" si="2">F150+G150+H150+I150+J150</f>
        <v>96</v>
      </c>
      <c r="F150" s="8"/>
      <c r="G150" s="8"/>
      <c r="H150" s="8"/>
      <c r="I150" s="8"/>
      <c r="J150" s="8">
        <v>96</v>
      </c>
    </row>
    <row r="151" spans="1:10" ht="10.5" customHeight="1">
      <c r="A151" s="5">
        <v>144</v>
      </c>
      <c r="B151" s="7" t="s">
        <v>157</v>
      </c>
      <c r="C151" s="8">
        <v>500</v>
      </c>
      <c r="D151" s="8"/>
      <c r="E151" s="8">
        <f t="shared" si="2"/>
        <v>900</v>
      </c>
      <c r="F151" s="8"/>
      <c r="G151" s="8"/>
      <c r="H151" s="8">
        <v>900</v>
      </c>
      <c r="I151" s="8"/>
      <c r="J151" s="8"/>
    </row>
    <row r="152" spans="1:10" ht="10.5" customHeight="1">
      <c r="A152" s="5">
        <v>145</v>
      </c>
      <c r="B152" s="7" t="s">
        <v>158</v>
      </c>
      <c r="C152" s="8">
        <v>500</v>
      </c>
      <c r="D152" s="8"/>
      <c r="E152" s="8">
        <f t="shared" si="2"/>
        <v>1000</v>
      </c>
      <c r="F152" s="8"/>
      <c r="G152" s="8"/>
      <c r="H152" s="8">
        <f>1000</f>
        <v>1000</v>
      </c>
      <c r="I152" s="8"/>
      <c r="J152" s="8"/>
    </row>
    <row r="153" spans="1:10" ht="10.5" customHeight="1">
      <c r="A153" s="5">
        <v>146</v>
      </c>
      <c r="B153" s="7" t="s">
        <v>159</v>
      </c>
      <c r="C153" s="8"/>
      <c r="D153" s="8"/>
      <c r="E153" s="8">
        <f t="shared" si="2"/>
        <v>300</v>
      </c>
      <c r="F153" s="8"/>
      <c r="G153" s="8"/>
      <c r="H153" s="8">
        <v>300</v>
      </c>
      <c r="I153" s="8"/>
      <c r="J153" s="8"/>
    </row>
    <row r="154" spans="1:10" ht="10.5" customHeight="1">
      <c r="A154" s="5">
        <v>147</v>
      </c>
      <c r="B154" s="7" t="s">
        <v>160</v>
      </c>
      <c r="C154" s="8"/>
      <c r="D154" s="8"/>
      <c r="E154" s="8">
        <f t="shared" si="2"/>
        <v>400</v>
      </c>
      <c r="F154" s="8"/>
      <c r="G154" s="8"/>
      <c r="H154" s="8">
        <v>400</v>
      </c>
      <c r="I154" s="8"/>
      <c r="J154" s="8"/>
    </row>
    <row r="155" spans="1:10" ht="10.5" customHeight="1">
      <c r="A155" s="5">
        <v>148</v>
      </c>
      <c r="B155" s="7" t="s">
        <v>161</v>
      </c>
      <c r="C155" s="8"/>
      <c r="D155" s="8"/>
      <c r="E155" s="8">
        <f t="shared" si="2"/>
        <v>960</v>
      </c>
      <c r="F155" s="8"/>
      <c r="G155" s="8"/>
      <c r="H155" s="8"/>
      <c r="I155" s="8"/>
      <c r="J155" s="8">
        <v>960</v>
      </c>
    </row>
    <row r="156" spans="1:10" ht="10.5" customHeight="1">
      <c r="A156" s="5">
        <v>149</v>
      </c>
      <c r="B156" s="7" t="s">
        <v>162</v>
      </c>
      <c r="C156" s="8">
        <v>500</v>
      </c>
      <c r="D156" s="8"/>
      <c r="E156" s="8">
        <f t="shared" si="2"/>
        <v>200</v>
      </c>
      <c r="F156" s="8"/>
      <c r="G156" s="8"/>
      <c r="H156" s="8">
        <v>200</v>
      </c>
      <c r="I156" s="8"/>
      <c r="J156" s="8"/>
    </row>
    <row r="157" spans="1:10" ht="10.5" customHeight="1">
      <c r="A157" s="5">
        <v>150</v>
      </c>
      <c r="B157" s="7" t="s">
        <v>163</v>
      </c>
      <c r="C157" s="8"/>
      <c r="D157" s="8"/>
      <c r="E157" s="8">
        <f t="shared" si="2"/>
        <v>200</v>
      </c>
      <c r="F157" s="8"/>
      <c r="G157" s="8"/>
      <c r="H157" s="8">
        <v>200</v>
      </c>
      <c r="I157" s="8"/>
      <c r="J157" s="8"/>
    </row>
    <row r="158" spans="1:10" ht="10.5" customHeight="1">
      <c r="A158" s="5">
        <v>151</v>
      </c>
      <c r="B158" s="7" t="s">
        <v>164</v>
      </c>
      <c r="C158" s="8"/>
      <c r="D158" s="8"/>
      <c r="E158" s="8">
        <f t="shared" si="2"/>
        <v>200</v>
      </c>
      <c r="F158" s="8"/>
      <c r="G158" s="8"/>
      <c r="H158" s="8">
        <v>200</v>
      </c>
      <c r="I158" s="8"/>
      <c r="J158" s="8"/>
    </row>
    <row r="159" spans="1:10" ht="10.5" customHeight="1">
      <c r="A159" s="5">
        <v>152</v>
      </c>
      <c r="B159" s="7" t="s">
        <v>165</v>
      </c>
      <c r="C159" s="8"/>
      <c r="D159" s="8"/>
      <c r="E159" s="8">
        <f t="shared" si="2"/>
        <v>200</v>
      </c>
      <c r="F159" s="8"/>
      <c r="G159" s="8"/>
      <c r="H159" s="8">
        <v>200</v>
      </c>
      <c r="I159" s="8"/>
      <c r="J159" s="8"/>
    </row>
    <row r="160" spans="1:10" ht="10.5" customHeight="1">
      <c r="A160" s="5">
        <v>153</v>
      </c>
      <c r="B160" s="7" t="s">
        <v>166</v>
      </c>
      <c r="C160" s="8"/>
      <c r="D160" s="8"/>
      <c r="E160" s="8">
        <f t="shared" si="2"/>
        <v>0</v>
      </c>
      <c r="F160" s="8"/>
      <c r="G160" s="8"/>
      <c r="H160" s="8">
        <f>200-200</f>
        <v>0</v>
      </c>
      <c r="I160" s="8"/>
      <c r="J160" s="8"/>
    </row>
    <row r="161" spans="1:16" ht="10.5" customHeight="1">
      <c r="A161" s="5">
        <v>154</v>
      </c>
      <c r="B161" s="7" t="s">
        <v>167</v>
      </c>
      <c r="C161" s="8"/>
      <c r="D161" s="8"/>
      <c r="E161" s="8">
        <f t="shared" si="2"/>
        <v>120</v>
      </c>
      <c r="F161" s="8"/>
      <c r="G161" s="8"/>
      <c r="H161" s="8"/>
      <c r="I161" s="8"/>
      <c r="J161" s="8">
        <v>120</v>
      </c>
    </row>
    <row r="162" spans="1:16" ht="10.5" customHeight="1">
      <c r="A162" s="5">
        <v>155</v>
      </c>
      <c r="B162" s="16" t="s">
        <v>168</v>
      </c>
      <c r="C162" s="8"/>
      <c r="D162" s="8"/>
      <c r="E162" s="8">
        <f t="shared" si="2"/>
        <v>200</v>
      </c>
      <c r="F162" s="8"/>
      <c r="G162" s="8"/>
      <c r="H162" s="8">
        <v>200</v>
      </c>
      <c r="I162" s="8"/>
      <c r="J162" s="8"/>
    </row>
    <row r="163" spans="1:16" ht="10.5" customHeight="1">
      <c r="A163" s="5">
        <v>156</v>
      </c>
      <c r="B163" s="16" t="s">
        <v>169</v>
      </c>
      <c r="C163" s="8"/>
      <c r="D163" s="8"/>
      <c r="E163" s="8">
        <f t="shared" si="2"/>
        <v>342</v>
      </c>
      <c r="F163" s="8"/>
      <c r="G163" s="8"/>
      <c r="H163" s="8"/>
      <c r="I163" s="8"/>
      <c r="J163" s="8">
        <v>342</v>
      </c>
    </row>
    <row r="164" spans="1:16" ht="10.5" customHeight="1">
      <c r="A164" s="5">
        <v>157</v>
      </c>
      <c r="B164" s="16" t="s">
        <v>170</v>
      </c>
      <c r="C164" s="8">
        <v>500</v>
      </c>
      <c r="D164" s="8"/>
      <c r="E164" s="8">
        <f t="shared" si="2"/>
        <v>900</v>
      </c>
      <c r="F164" s="8"/>
      <c r="G164" s="8"/>
      <c r="H164" s="8">
        <v>900</v>
      </c>
      <c r="I164" s="8"/>
      <c r="J164" s="8"/>
    </row>
    <row r="165" spans="1:16" ht="10.5" customHeight="1">
      <c r="A165" s="5">
        <v>158</v>
      </c>
      <c r="B165" s="7" t="s">
        <v>171</v>
      </c>
      <c r="C165" s="8">
        <v>500</v>
      </c>
      <c r="D165" s="8"/>
      <c r="E165" s="8">
        <f t="shared" si="2"/>
        <v>1000</v>
      </c>
      <c r="F165" s="8"/>
      <c r="G165" s="8"/>
      <c r="H165" s="8">
        <v>1000</v>
      </c>
      <c r="I165" s="8"/>
      <c r="J165" s="8"/>
    </row>
    <row r="166" spans="1:16" ht="10.5" customHeight="1">
      <c r="A166" s="5">
        <v>159</v>
      </c>
      <c r="B166" s="7" t="s">
        <v>172</v>
      </c>
      <c r="C166" s="8"/>
      <c r="D166" s="8"/>
      <c r="E166" s="8">
        <f t="shared" si="2"/>
        <v>108</v>
      </c>
      <c r="F166" s="8"/>
      <c r="G166" s="8"/>
      <c r="H166" s="8"/>
      <c r="I166" s="8"/>
      <c r="J166" s="8">
        <v>108</v>
      </c>
    </row>
    <row r="167" spans="1:16" ht="10.5" customHeight="1">
      <c r="A167" s="5">
        <v>160</v>
      </c>
      <c r="B167" s="7" t="s">
        <v>173</v>
      </c>
      <c r="C167" s="8"/>
      <c r="D167" s="8"/>
      <c r="E167" s="8">
        <f t="shared" si="2"/>
        <v>17105</v>
      </c>
      <c r="F167" s="8"/>
      <c r="G167" s="8"/>
      <c r="H167" s="8">
        <f>16242+135+356+156+216</f>
        <v>17105</v>
      </c>
      <c r="I167" s="8"/>
      <c r="J167" s="8"/>
    </row>
    <row r="168" spans="1:16" ht="10.5" customHeight="1">
      <c r="A168" s="5">
        <v>161</v>
      </c>
      <c r="B168" s="7" t="s">
        <v>174</v>
      </c>
      <c r="C168" s="8">
        <v>11775</v>
      </c>
      <c r="D168" s="8">
        <v>11775</v>
      </c>
      <c r="E168" s="8">
        <f t="shared" si="2"/>
        <v>26500</v>
      </c>
      <c r="F168" s="8"/>
      <c r="G168" s="8"/>
      <c r="H168" s="8">
        <v>26500</v>
      </c>
      <c r="I168" s="8"/>
      <c r="J168" s="8"/>
    </row>
    <row r="169" spans="1:16" ht="10.5" customHeight="1">
      <c r="A169" s="5">
        <v>162</v>
      </c>
      <c r="B169" s="7" t="s">
        <v>175</v>
      </c>
      <c r="C169" s="8"/>
      <c r="D169" s="8"/>
      <c r="E169" s="8">
        <f t="shared" si="2"/>
        <v>39778</v>
      </c>
      <c r="F169" s="8"/>
      <c r="G169" s="8"/>
      <c r="H169" s="8">
        <v>39778</v>
      </c>
      <c r="I169" s="8"/>
      <c r="J169" s="8"/>
    </row>
    <row r="170" spans="1:16" ht="10.5" customHeight="1">
      <c r="A170" s="5">
        <v>163</v>
      </c>
      <c r="B170" s="7" t="s">
        <v>176</v>
      </c>
      <c r="C170" s="8">
        <v>13000</v>
      </c>
      <c r="D170" s="8">
        <v>9924</v>
      </c>
      <c r="E170" s="8">
        <f t="shared" si="2"/>
        <v>36</v>
      </c>
      <c r="F170" s="8"/>
      <c r="G170" s="8"/>
      <c r="H170" s="8">
        <v>0</v>
      </c>
      <c r="I170" s="8"/>
      <c r="J170" s="8">
        <v>36</v>
      </c>
    </row>
    <row r="171" spans="1:16" ht="10.5" customHeight="1">
      <c r="A171" s="5">
        <v>164</v>
      </c>
      <c r="B171" s="7" t="s">
        <v>177</v>
      </c>
      <c r="C171" s="8"/>
      <c r="D171" s="8"/>
      <c r="E171" s="8">
        <f t="shared" si="2"/>
        <v>38475</v>
      </c>
      <c r="F171" s="8"/>
      <c r="G171" s="8"/>
      <c r="H171" s="8">
        <v>38475</v>
      </c>
      <c r="I171" s="8"/>
      <c r="J171" s="8"/>
    </row>
    <row r="172" spans="1:16" ht="10.5" customHeight="1">
      <c r="A172" s="5">
        <v>165</v>
      </c>
      <c r="B172" s="7" t="s">
        <v>178</v>
      </c>
      <c r="C172" s="8">
        <v>30000</v>
      </c>
      <c r="D172" s="8"/>
      <c r="E172" s="8">
        <f t="shared" si="2"/>
        <v>0</v>
      </c>
      <c r="F172" s="8"/>
      <c r="G172" s="8"/>
      <c r="H172" s="8"/>
      <c r="I172" s="8"/>
      <c r="J172" s="8"/>
    </row>
    <row r="173" spans="1:16" ht="10.5" customHeight="1">
      <c r="A173" s="5">
        <v>166</v>
      </c>
      <c r="B173" s="7" t="s">
        <v>179</v>
      </c>
      <c r="C173" s="8">
        <f>44380</f>
        <v>44380</v>
      </c>
      <c r="D173" s="8">
        <f>33620-9620</f>
        <v>24000</v>
      </c>
      <c r="E173" s="8">
        <f t="shared" si="2"/>
        <v>64601</v>
      </c>
      <c r="F173" s="8">
        <v>14337</v>
      </c>
      <c r="G173" s="8">
        <v>50264</v>
      </c>
      <c r="H173" s="8"/>
      <c r="I173" s="8"/>
      <c r="J173" s="8"/>
    </row>
    <row r="174" spans="1:16" s="12" customFormat="1" ht="44.25" customHeight="1">
      <c r="A174" s="5">
        <v>167</v>
      </c>
      <c r="B174" s="13" t="s">
        <v>180</v>
      </c>
      <c r="C174" s="11">
        <v>32602</v>
      </c>
      <c r="D174" s="8"/>
      <c r="E174" s="8">
        <f t="shared" si="2"/>
        <v>129323</v>
      </c>
      <c r="F174" s="11">
        <v>26260</v>
      </c>
      <c r="G174" s="11">
        <v>103063</v>
      </c>
      <c r="H174" s="11"/>
      <c r="I174" s="11"/>
      <c r="J174" s="11"/>
      <c r="K174" s="1"/>
      <c r="L174" s="1"/>
      <c r="M174" s="1"/>
      <c r="N174" s="1"/>
      <c r="O174" s="1"/>
      <c r="P174" s="1"/>
    </row>
    <row r="175" spans="1:16" ht="10.5" customHeight="1">
      <c r="A175" s="5">
        <v>168</v>
      </c>
      <c r="B175" s="7" t="s">
        <v>181</v>
      </c>
      <c r="C175" s="8">
        <f>4000+100</f>
        <v>4100</v>
      </c>
      <c r="D175" s="8"/>
      <c r="E175" s="8">
        <f t="shared" si="2"/>
        <v>0</v>
      </c>
      <c r="F175" s="8"/>
      <c r="G175" s="8"/>
      <c r="H175" s="8"/>
      <c r="I175" s="8"/>
      <c r="J175" s="8"/>
      <c r="K175" s="12"/>
      <c r="L175" s="12"/>
      <c r="M175" s="12"/>
      <c r="N175" s="12"/>
      <c r="O175" s="12"/>
      <c r="P175" s="12"/>
    </row>
    <row r="176" spans="1:16" ht="10.5" customHeight="1">
      <c r="A176" s="5">
        <v>169</v>
      </c>
      <c r="B176" s="7" t="s">
        <v>182</v>
      </c>
      <c r="C176" s="8"/>
      <c r="D176" s="8"/>
      <c r="E176" s="8">
        <f t="shared" si="2"/>
        <v>1000</v>
      </c>
      <c r="F176" s="8"/>
      <c r="G176" s="8"/>
      <c r="H176" s="8">
        <v>1000</v>
      </c>
      <c r="I176" s="8"/>
      <c r="J176" s="8"/>
    </row>
    <row r="177" spans="1:16" ht="10.5" customHeight="1">
      <c r="A177" s="17"/>
      <c r="B177" s="7" t="s">
        <v>183</v>
      </c>
      <c r="C177" s="8"/>
      <c r="D177" s="8"/>
      <c r="E177" s="8">
        <f t="shared" si="2"/>
        <v>2934</v>
      </c>
      <c r="F177" s="8"/>
      <c r="G177" s="8"/>
      <c r="H177" s="8">
        <v>1700</v>
      </c>
      <c r="I177" s="8"/>
      <c r="J177" s="8">
        <v>1234</v>
      </c>
    </row>
    <row r="178" spans="1:16" ht="10.5" customHeight="1">
      <c r="A178" s="17"/>
      <c r="B178" s="7" t="s">
        <v>184</v>
      </c>
      <c r="C178" s="8">
        <f>9204-500</f>
        <v>8704</v>
      </c>
      <c r="D178" s="8"/>
      <c r="E178" s="8">
        <v>16015</v>
      </c>
      <c r="F178" s="8"/>
      <c r="G178" s="8"/>
      <c r="H178" s="8"/>
      <c r="I178" s="8"/>
      <c r="J178" s="8"/>
    </row>
    <row r="179" spans="1:16" s="21" customFormat="1" ht="10.5" customHeight="1">
      <c r="A179" s="18"/>
      <c r="B179" s="19" t="s">
        <v>185</v>
      </c>
      <c r="C179" s="20">
        <f>SUM(C8:C176)+C177+C178</f>
        <v>2273489</v>
      </c>
      <c r="D179" s="20">
        <f>D65+D101+D102+D124+D125+D128+D168+D170+D173</f>
        <v>137295</v>
      </c>
      <c r="E179" s="20">
        <f t="shared" ref="E179:J179" si="3">SUM(E8:E176)+E177+E178</f>
        <v>8038408</v>
      </c>
      <c r="F179" s="20">
        <f t="shared" si="3"/>
        <v>1774045</v>
      </c>
      <c r="G179" s="20">
        <f t="shared" si="3"/>
        <v>5569286</v>
      </c>
      <c r="H179" s="20">
        <f t="shared" si="3"/>
        <v>594139</v>
      </c>
      <c r="I179" s="20">
        <f t="shared" si="3"/>
        <v>82027</v>
      </c>
      <c r="J179" s="20">
        <f t="shared" si="3"/>
        <v>2896</v>
      </c>
      <c r="K179" s="1"/>
      <c r="L179" s="1"/>
      <c r="M179" s="1"/>
      <c r="N179" s="1"/>
      <c r="O179" s="1"/>
      <c r="P179" s="1"/>
    </row>
    <row r="180" spans="1:16" hidden="1">
      <c r="B180" s="22" t="s">
        <v>186</v>
      </c>
      <c r="C180" s="23">
        <v>2273489</v>
      </c>
      <c r="D180" s="23">
        <v>137295</v>
      </c>
      <c r="E180" s="23">
        <v>8038408</v>
      </c>
      <c r="F180" s="23">
        <v>1774261</v>
      </c>
      <c r="G180" s="23">
        <v>5569286</v>
      </c>
      <c r="H180" s="23">
        <v>593923</v>
      </c>
      <c r="I180" s="23">
        <v>82027</v>
      </c>
      <c r="J180" s="23">
        <v>2896</v>
      </c>
      <c r="K180" s="21"/>
      <c r="L180" s="21"/>
      <c r="M180" s="21"/>
      <c r="N180" s="21"/>
      <c r="O180" s="21"/>
      <c r="P180" s="21"/>
    </row>
    <row r="181" spans="1:16" hidden="1">
      <c r="B181" s="22" t="s">
        <v>187</v>
      </c>
      <c r="C181" s="24">
        <f>C179-C180</f>
        <v>0</v>
      </c>
      <c r="D181" s="24">
        <f t="shared" ref="D181:J181" si="4">D179-D180</f>
        <v>0</v>
      </c>
      <c r="E181" s="24">
        <f t="shared" si="4"/>
        <v>0</v>
      </c>
      <c r="F181" s="24">
        <f t="shared" si="4"/>
        <v>-216</v>
      </c>
      <c r="G181" s="24">
        <f t="shared" si="4"/>
        <v>0</v>
      </c>
      <c r="H181" s="24">
        <f t="shared" si="4"/>
        <v>216</v>
      </c>
      <c r="I181" s="24">
        <f t="shared" si="4"/>
        <v>0</v>
      </c>
      <c r="J181" s="24">
        <f t="shared" si="4"/>
        <v>0</v>
      </c>
    </row>
    <row r="182" spans="1:16">
      <c r="E182" s="22"/>
      <c r="F182" s="23"/>
      <c r="G182" s="22"/>
      <c r="H182" s="22"/>
    </row>
  </sheetData>
  <mergeCells count="12">
    <mergeCell ref="I5:I6"/>
    <mergeCell ref="J5:J6"/>
    <mergeCell ref="A1:J2"/>
    <mergeCell ref="A3:A6"/>
    <mergeCell ref="B3:B6"/>
    <mergeCell ref="C3:C6"/>
    <mergeCell ref="D3:D6"/>
    <mergeCell ref="E3:J3"/>
    <mergeCell ref="E4:E6"/>
    <mergeCell ref="F4:J4"/>
    <mergeCell ref="F5:G5"/>
    <mergeCell ref="H5:H6"/>
  </mergeCells>
  <pageMargins left="0.51181102362204722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9"/>
  <sheetViews>
    <sheetView zoomScale="110" zoomScaleNormal="110" workbookViewId="0">
      <pane xSplit="2" ySplit="8" topLeftCell="C126" activePane="bottomRight" state="frozen"/>
      <selection pane="topRight" activeCell="C1" sqref="C1"/>
      <selection pane="bottomLeft" activeCell="A7" sqref="A7"/>
      <selection pane="bottomRight" activeCell="G140" sqref="G140"/>
    </sheetView>
  </sheetViews>
  <sheetFormatPr defaultRowHeight="15"/>
  <cols>
    <col min="1" max="1" width="4.28515625" style="26" customWidth="1"/>
    <col min="2" max="2" width="31.140625" style="28" customWidth="1"/>
    <col min="3" max="4" width="8.140625" style="26" customWidth="1"/>
    <col min="5" max="5" width="10.140625" style="26" customWidth="1"/>
    <col min="6" max="6" width="11.42578125" style="26" customWidth="1"/>
    <col min="7" max="7" width="11.7109375" style="26" customWidth="1"/>
    <col min="8" max="8" width="8" style="26" customWidth="1"/>
    <col min="9" max="10" width="8.28515625" style="26" customWidth="1"/>
    <col min="11" max="11" width="9.28515625" style="26" customWidth="1"/>
    <col min="12" max="12" width="7.7109375" style="26" customWidth="1"/>
    <col min="13" max="13" width="8.140625" style="26" customWidth="1"/>
    <col min="14" max="14" width="8" style="26" customWidth="1"/>
    <col min="15" max="15" width="8.42578125" style="26" customWidth="1"/>
    <col min="16" max="16" width="12.42578125" style="26" customWidth="1"/>
    <col min="17" max="16384" width="9.140625" style="26"/>
  </cols>
  <sheetData>
    <row r="1" spans="1:19" ht="18.75">
      <c r="A1" s="84" t="s">
        <v>188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9" ht="15.75">
      <c r="A2" s="27"/>
    </row>
    <row r="3" spans="1:19" ht="11.25" customHeight="1">
      <c r="A3" s="85" t="s">
        <v>1</v>
      </c>
      <c r="B3" s="85" t="s">
        <v>2</v>
      </c>
      <c r="C3" s="85" t="s">
        <v>189</v>
      </c>
      <c r="D3" s="85" t="s">
        <v>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ht="22.5" customHeight="1">
      <c r="A4" s="85"/>
      <c r="B4" s="85"/>
      <c r="C4" s="85"/>
      <c r="D4" s="85" t="s">
        <v>190</v>
      </c>
      <c r="E4" s="86" t="s">
        <v>191</v>
      </c>
      <c r="F4" s="87"/>
      <c r="G4" s="87"/>
      <c r="H4" s="88"/>
      <c r="I4" s="85" t="s">
        <v>192</v>
      </c>
      <c r="J4" s="85" t="s">
        <v>193</v>
      </c>
      <c r="K4" s="85" t="s">
        <v>194</v>
      </c>
      <c r="L4" s="85" t="s">
        <v>195</v>
      </c>
      <c r="M4" s="85" t="s">
        <v>7</v>
      </c>
      <c r="N4" s="85"/>
      <c r="O4" s="85" t="s">
        <v>196</v>
      </c>
      <c r="P4" s="85" t="s">
        <v>197</v>
      </c>
      <c r="Q4" s="86" t="s">
        <v>198</v>
      </c>
      <c r="R4" s="88"/>
    </row>
    <row r="5" spans="1:19" ht="17.25" customHeight="1">
      <c r="A5" s="85"/>
      <c r="B5" s="85"/>
      <c r="C5" s="85"/>
      <c r="D5" s="85"/>
      <c r="E5" s="85" t="s">
        <v>199</v>
      </c>
      <c r="F5" s="85"/>
      <c r="G5" s="85"/>
      <c r="H5" s="92" t="s">
        <v>200</v>
      </c>
      <c r="I5" s="85"/>
      <c r="J5" s="85"/>
      <c r="K5" s="85"/>
      <c r="L5" s="85"/>
      <c r="M5" s="89" t="s">
        <v>201</v>
      </c>
      <c r="N5" s="89" t="s">
        <v>202</v>
      </c>
      <c r="O5" s="85"/>
      <c r="P5" s="85"/>
      <c r="Q5" s="85" t="s">
        <v>12</v>
      </c>
      <c r="R5" s="89" t="s">
        <v>13</v>
      </c>
    </row>
    <row r="6" spans="1:19" ht="13.5" customHeight="1">
      <c r="A6" s="85"/>
      <c r="B6" s="85"/>
      <c r="C6" s="85"/>
      <c r="D6" s="85"/>
      <c r="E6" s="89" t="s">
        <v>6</v>
      </c>
      <c r="F6" s="86" t="s">
        <v>7</v>
      </c>
      <c r="G6" s="88"/>
      <c r="H6" s="93"/>
      <c r="I6" s="85"/>
      <c r="J6" s="85"/>
      <c r="K6" s="85"/>
      <c r="L6" s="85"/>
      <c r="M6" s="90"/>
      <c r="N6" s="90"/>
      <c r="O6" s="85"/>
      <c r="P6" s="85"/>
      <c r="Q6" s="85"/>
      <c r="R6" s="90"/>
    </row>
    <row r="7" spans="1:19" ht="34.5" customHeight="1">
      <c r="A7" s="85"/>
      <c r="B7" s="85"/>
      <c r="C7" s="85"/>
      <c r="D7" s="85"/>
      <c r="E7" s="91"/>
      <c r="F7" s="29" t="s">
        <v>203</v>
      </c>
      <c r="G7" s="29" t="s">
        <v>204</v>
      </c>
      <c r="H7" s="94"/>
      <c r="I7" s="85"/>
      <c r="J7" s="85"/>
      <c r="K7" s="85"/>
      <c r="L7" s="85"/>
      <c r="M7" s="91"/>
      <c r="N7" s="91"/>
      <c r="O7" s="85"/>
      <c r="P7" s="85"/>
      <c r="Q7" s="85"/>
      <c r="R7" s="91"/>
    </row>
    <row r="8" spans="1:19" s="31" customFormat="1" ht="11.2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</row>
    <row r="9" spans="1:19" s="31" customFormat="1" ht="12">
      <c r="A9" s="30">
        <v>1</v>
      </c>
      <c r="B9" s="32" t="s">
        <v>14</v>
      </c>
      <c r="C9" s="33">
        <f>D9+E9+H9+I9+J9+K9+L9+O9+P9+Q9+R9</f>
        <v>185399</v>
      </c>
      <c r="D9" s="33"/>
      <c r="E9" s="33">
        <f>F9+G9</f>
        <v>18868</v>
      </c>
      <c r="F9" s="33">
        <v>17262</v>
      </c>
      <c r="G9" s="33">
        <v>1606</v>
      </c>
      <c r="H9" s="33">
        <v>3645</v>
      </c>
      <c r="I9" s="33">
        <v>1397</v>
      </c>
      <c r="J9" s="33">
        <v>7128</v>
      </c>
      <c r="K9" s="33">
        <v>82979</v>
      </c>
      <c r="L9" s="33">
        <f t="shared" ref="L9:L89" si="0">M9+N9</f>
        <v>1464</v>
      </c>
      <c r="M9" s="33">
        <v>982</v>
      </c>
      <c r="N9" s="33">
        <v>482</v>
      </c>
      <c r="O9" s="33"/>
      <c r="P9" s="33"/>
      <c r="Q9" s="33">
        <f>15023+3246+100+100</f>
        <v>18469</v>
      </c>
      <c r="R9" s="33">
        <f>53055-1606</f>
        <v>51449</v>
      </c>
      <c r="S9" s="34"/>
    </row>
    <row r="10" spans="1:19" s="31" customFormat="1" ht="15" customHeight="1">
      <c r="A10" s="30">
        <v>2</v>
      </c>
      <c r="B10" s="32" t="s">
        <v>15</v>
      </c>
      <c r="C10" s="33">
        <f t="shared" ref="C10:C73" si="1">D10+E10+H10+I10+J10+K10+L10+O10+P10+Q10+R10</f>
        <v>81672</v>
      </c>
      <c r="D10" s="33"/>
      <c r="E10" s="33">
        <f t="shared" ref="E10:E73" si="2">F10+G10</f>
        <v>7908</v>
      </c>
      <c r="F10" s="33">
        <v>7251</v>
      </c>
      <c r="G10" s="33">
        <v>657</v>
      </c>
      <c r="H10" s="33">
        <v>2175</v>
      </c>
      <c r="I10" s="33">
        <v>2026</v>
      </c>
      <c r="J10" s="33">
        <v>2858</v>
      </c>
      <c r="K10" s="33">
        <v>33294</v>
      </c>
      <c r="L10" s="33">
        <f t="shared" si="0"/>
        <v>1464</v>
      </c>
      <c r="M10" s="33">
        <v>904</v>
      </c>
      <c r="N10" s="33">
        <v>560</v>
      </c>
      <c r="O10" s="33"/>
      <c r="P10" s="33"/>
      <c r="Q10" s="33">
        <f>10987+1433</f>
        <v>12420</v>
      </c>
      <c r="R10" s="33">
        <f>20184-657</f>
        <v>19527</v>
      </c>
      <c r="S10" s="34"/>
    </row>
    <row r="11" spans="1:19" s="70" customFormat="1" ht="12">
      <c r="A11" s="5">
        <v>3</v>
      </c>
      <c r="B11" s="7" t="s">
        <v>16</v>
      </c>
      <c r="C11" s="65">
        <f t="shared" si="1"/>
        <v>49909</v>
      </c>
      <c r="D11" s="65"/>
      <c r="E11" s="65">
        <f t="shared" si="2"/>
        <v>5181</v>
      </c>
      <c r="F11" s="65">
        <v>4794</v>
      </c>
      <c r="G11" s="65">
        <v>387</v>
      </c>
      <c r="H11" s="65">
        <v>1198</v>
      </c>
      <c r="I11" s="65">
        <v>1665</v>
      </c>
      <c r="J11" s="65">
        <v>1565</v>
      </c>
      <c r="K11" s="65">
        <v>20248</v>
      </c>
      <c r="L11" s="65">
        <f t="shared" si="0"/>
        <v>0</v>
      </c>
      <c r="M11" s="65"/>
      <c r="N11" s="65"/>
      <c r="O11" s="65"/>
      <c r="P11" s="65"/>
      <c r="Q11" s="65">
        <f>6978+891</f>
        <v>7869</v>
      </c>
      <c r="R11" s="65">
        <f>12570-387</f>
        <v>12183</v>
      </c>
      <c r="S11" s="66"/>
    </row>
    <row r="12" spans="1:19" s="66" customFormat="1" ht="12">
      <c r="A12" s="8">
        <v>4</v>
      </c>
      <c r="B12" s="7" t="s">
        <v>17</v>
      </c>
      <c r="C12" s="65">
        <f t="shared" si="1"/>
        <v>31157</v>
      </c>
      <c r="D12" s="65"/>
      <c r="E12" s="65">
        <f t="shared" si="2"/>
        <v>3224</v>
      </c>
      <c r="F12" s="65">
        <v>2990</v>
      </c>
      <c r="G12" s="65">
        <v>234</v>
      </c>
      <c r="H12" s="65">
        <v>897</v>
      </c>
      <c r="I12" s="65">
        <v>405</v>
      </c>
      <c r="J12" s="65">
        <v>1140</v>
      </c>
      <c r="K12" s="65">
        <v>11408</v>
      </c>
      <c r="L12" s="65">
        <f t="shared" si="0"/>
        <v>0</v>
      </c>
      <c r="M12" s="65"/>
      <c r="N12" s="65"/>
      <c r="O12" s="65"/>
      <c r="P12" s="65"/>
      <c r="Q12" s="65">
        <f>2916+550</f>
        <v>3466</v>
      </c>
      <c r="R12" s="65">
        <f>10851-234</f>
        <v>10617</v>
      </c>
    </row>
    <row r="13" spans="1:19" s="66" customFormat="1" ht="12">
      <c r="A13" s="8">
        <v>5</v>
      </c>
      <c r="B13" s="7" t="s">
        <v>18</v>
      </c>
      <c r="C13" s="65">
        <f t="shared" si="1"/>
        <v>59839</v>
      </c>
      <c r="D13" s="65"/>
      <c r="E13" s="65">
        <f t="shared" si="2"/>
        <v>5898</v>
      </c>
      <c r="F13" s="65">
        <v>5400</v>
      </c>
      <c r="G13" s="65">
        <v>498</v>
      </c>
      <c r="H13" s="65">
        <v>1985</v>
      </c>
      <c r="I13" s="65">
        <v>178</v>
      </c>
      <c r="J13" s="65">
        <v>2158</v>
      </c>
      <c r="K13" s="65">
        <v>22995</v>
      </c>
      <c r="L13" s="65">
        <f t="shared" si="0"/>
        <v>1464</v>
      </c>
      <c r="M13" s="65">
        <v>1000</v>
      </c>
      <c r="N13" s="65">
        <v>464</v>
      </c>
      <c r="O13" s="65"/>
      <c r="P13" s="65"/>
      <c r="Q13" s="65">
        <f>6649+1040</f>
        <v>7689</v>
      </c>
      <c r="R13" s="65">
        <f>17970-498</f>
        <v>17472</v>
      </c>
    </row>
    <row r="14" spans="1:19" s="66" customFormat="1" ht="12">
      <c r="A14" s="8">
        <v>6</v>
      </c>
      <c r="B14" s="7" t="s">
        <v>19</v>
      </c>
      <c r="C14" s="65">
        <f t="shared" si="1"/>
        <v>90135</v>
      </c>
      <c r="D14" s="65"/>
      <c r="E14" s="65">
        <f t="shared" si="2"/>
        <v>8989</v>
      </c>
      <c r="F14" s="65">
        <v>8270</v>
      </c>
      <c r="G14" s="65">
        <v>719</v>
      </c>
      <c r="H14" s="65">
        <v>2424</v>
      </c>
      <c r="I14" s="65">
        <v>1745</v>
      </c>
      <c r="J14" s="65">
        <v>3286</v>
      </c>
      <c r="K14" s="65">
        <v>35341</v>
      </c>
      <c r="L14" s="65"/>
      <c r="M14" s="65"/>
      <c r="N14" s="65"/>
      <c r="O14" s="65"/>
      <c r="P14" s="65"/>
      <c r="Q14" s="65">
        <f>9239+1593</f>
        <v>10832</v>
      </c>
      <c r="R14" s="65">
        <f>28237-719</f>
        <v>27518</v>
      </c>
    </row>
    <row r="15" spans="1:19" s="66" customFormat="1" ht="12">
      <c r="A15" s="8">
        <v>7</v>
      </c>
      <c r="B15" s="7" t="s">
        <v>20</v>
      </c>
      <c r="C15" s="65">
        <f t="shared" si="1"/>
        <v>400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>
        <v>400</v>
      </c>
      <c r="Q15" s="65"/>
      <c r="R15" s="65"/>
    </row>
    <row r="16" spans="1:19" s="66" customFormat="1" ht="12">
      <c r="A16" s="8">
        <v>8</v>
      </c>
      <c r="B16" s="7" t="s">
        <v>21</v>
      </c>
      <c r="C16" s="65">
        <f t="shared" si="1"/>
        <v>200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>
        <v>200</v>
      </c>
      <c r="Q16" s="65"/>
      <c r="R16" s="65"/>
    </row>
    <row r="17" spans="1:19" s="66" customFormat="1" ht="12">
      <c r="A17" s="8">
        <v>9</v>
      </c>
      <c r="B17" s="7" t="s">
        <v>22</v>
      </c>
      <c r="C17" s="65">
        <f t="shared" si="1"/>
        <v>0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>
        <f>200-100-100</f>
        <v>0</v>
      </c>
      <c r="Q17" s="65"/>
      <c r="R17" s="65"/>
    </row>
    <row r="18" spans="1:19" s="66" customFormat="1" ht="12">
      <c r="A18" s="8">
        <v>10</v>
      </c>
      <c r="B18" s="7" t="s">
        <v>23</v>
      </c>
      <c r="C18" s="65">
        <f t="shared" si="1"/>
        <v>200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v>200</v>
      </c>
      <c r="Q18" s="65"/>
      <c r="R18" s="65"/>
    </row>
    <row r="19" spans="1:19" s="66" customFormat="1" ht="12">
      <c r="A19" s="8">
        <v>11</v>
      </c>
      <c r="B19" s="7" t="s">
        <v>24</v>
      </c>
      <c r="C19" s="65">
        <f t="shared" si="1"/>
        <v>200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>
        <v>200</v>
      </c>
      <c r="Q19" s="65"/>
      <c r="R19" s="65"/>
    </row>
    <row r="20" spans="1:19" s="66" customFormat="1" ht="12">
      <c r="A20" s="8">
        <v>12</v>
      </c>
      <c r="B20" s="7" t="s">
        <v>26</v>
      </c>
      <c r="C20" s="65">
        <f t="shared" si="1"/>
        <v>235530</v>
      </c>
      <c r="D20" s="65">
        <v>25303</v>
      </c>
      <c r="E20" s="65">
        <f t="shared" si="2"/>
        <v>20765</v>
      </c>
      <c r="F20" s="65">
        <v>19059</v>
      </c>
      <c r="G20" s="65">
        <v>1706</v>
      </c>
      <c r="H20" s="65">
        <f>11585-6821</f>
        <v>4764</v>
      </c>
      <c r="I20" s="65">
        <v>6993</v>
      </c>
      <c r="J20" s="65">
        <v>7518</v>
      </c>
      <c r="K20" s="65">
        <v>92629</v>
      </c>
      <c r="L20" s="65">
        <v>1464</v>
      </c>
      <c r="M20" s="65">
        <v>950</v>
      </c>
      <c r="N20" s="65">
        <v>514</v>
      </c>
      <c r="O20" s="65"/>
      <c r="P20" s="65"/>
      <c r="Q20" s="65">
        <f>25699+3687+4629</f>
        <v>34015</v>
      </c>
      <c r="R20" s="65">
        <f>41593-1706+2192</f>
        <v>42079</v>
      </c>
    </row>
    <row r="21" spans="1:19" s="66" customFormat="1" ht="12">
      <c r="A21" s="8">
        <v>13</v>
      </c>
      <c r="B21" s="7" t="s">
        <v>27</v>
      </c>
      <c r="C21" s="65">
        <f t="shared" si="1"/>
        <v>148252</v>
      </c>
      <c r="D21" s="65"/>
      <c r="E21" s="65">
        <f t="shared" si="2"/>
        <v>14812</v>
      </c>
      <c r="F21" s="65">
        <v>13577</v>
      </c>
      <c r="G21" s="65">
        <v>1235</v>
      </c>
      <c r="H21" s="65">
        <v>8146</v>
      </c>
      <c r="I21" s="65">
        <v>2695</v>
      </c>
      <c r="J21" s="65">
        <v>5231</v>
      </c>
      <c r="K21" s="65">
        <v>67956</v>
      </c>
      <c r="L21" s="65">
        <v>1464</v>
      </c>
      <c r="M21" s="65">
        <v>878</v>
      </c>
      <c r="N21" s="65">
        <v>586</v>
      </c>
      <c r="O21" s="65"/>
      <c r="P21" s="65"/>
      <c r="Q21" s="65">
        <f>19503+2000</f>
        <v>21503</v>
      </c>
      <c r="R21" s="65">
        <f>27680-1235</f>
        <v>26445</v>
      </c>
    </row>
    <row r="22" spans="1:19" s="66" customFormat="1" ht="12">
      <c r="A22" s="8">
        <v>14</v>
      </c>
      <c r="B22" s="7" t="s">
        <v>28</v>
      </c>
      <c r="C22" s="65">
        <f t="shared" si="1"/>
        <v>85964</v>
      </c>
      <c r="D22" s="65"/>
      <c r="E22" s="65">
        <f t="shared" si="2"/>
        <v>7993</v>
      </c>
      <c r="F22" s="65">
        <v>7365</v>
      </c>
      <c r="G22" s="65">
        <v>628</v>
      </c>
      <c r="H22" s="65">
        <v>2300</v>
      </c>
      <c r="I22" s="65">
        <v>2896</v>
      </c>
      <c r="J22" s="65">
        <v>2823</v>
      </c>
      <c r="K22" s="65">
        <v>48646</v>
      </c>
      <c r="L22" s="65"/>
      <c r="M22" s="65"/>
      <c r="N22" s="65"/>
      <c r="O22" s="65"/>
      <c r="P22" s="65"/>
      <c r="Q22" s="65">
        <f>9243+1516</f>
        <v>10759</v>
      </c>
      <c r="R22" s="65">
        <f>11175-628</f>
        <v>10547</v>
      </c>
    </row>
    <row r="23" spans="1:19" s="66" customFormat="1" ht="12">
      <c r="A23" s="8">
        <v>15</v>
      </c>
      <c r="B23" s="7" t="s">
        <v>29</v>
      </c>
      <c r="C23" s="65">
        <f t="shared" si="1"/>
        <v>37237</v>
      </c>
      <c r="D23" s="65"/>
      <c r="E23" s="65">
        <f t="shared" si="2"/>
        <v>3212</v>
      </c>
      <c r="F23" s="65">
        <v>2983</v>
      </c>
      <c r="G23" s="65">
        <v>229</v>
      </c>
      <c r="H23" s="65">
        <v>888</v>
      </c>
      <c r="I23" s="65">
        <v>180</v>
      </c>
      <c r="J23" s="65">
        <v>1062</v>
      </c>
      <c r="K23" s="65">
        <v>21113</v>
      </c>
      <c r="L23" s="65"/>
      <c r="M23" s="65"/>
      <c r="N23" s="65"/>
      <c r="O23" s="65"/>
      <c r="P23" s="65"/>
      <c r="Q23" s="65">
        <f>6503+654</f>
        <v>7157</v>
      </c>
      <c r="R23" s="65">
        <f>3854-229</f>
        <v>3625</v>
      </c>
    </row>
    <row r="24" spans="1:19" s="66" customFormat="1" ht="12">
      <c r="A24" s="8">
        <v>16</v>
      </c>
      <c r="B24" s="7" t="s">
        <v>30</v>
      </c>
      <c r="C24" s="65">
        <f t="shared" si="1"/>
        <v>400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>
        <v>400</v>
      </c>
      <c r="Q24" s="65"/>
      <c r="R24" s="65"/>
    </row>
    <row r="25" spans="1:19" s="66" customFormat="1" ht="12">
      <c r="A25" s="8">
        <v>17</v>
      </c>
      <c r="B25" s="7" t="s">
        <v>31</v>
      </c>
      <c r="C25" s="65">
        <f t="shared" si="1"/>
        <v>35577</v>
      </c>
      <c r="D25" s="65"/>
      <c r="E25" s="65">
        <f t="shared" si="2"/>
        <v>3011</v>
      </c>
      <c r="F25" s="65">
        <v>2734</v>
      </c>
      <c r="G25" s="65">
        <v>277</v>
      </c>
      <c r="H25" s="65">
        <v>748</v>
      </c>
      <c r="I25" s="65">
        <v>420</v>
      </c>
      <c r="J25" s="65">
        <v>886</v>
      </c>
      <c r="K25" s="65">
        <v>12420</v>
      </c>
      <c r="L25" s="65"/>
      <c r="M25" s="65"/>
      <c r="N25" s="65"/>
      <c r="O25" s="65"/>
      <c r="P25" s="65"/>
      <c r="Q25" s="65">
        <f>9440</f>
        <v>9440</v>
      </c>
      <c r="R25" s="65">
        <f>8929-277</f>
        <v>8652</v>
      </c>
    </row>
    <row r="26" spans="1:19" s="66" customFormat="1" ht="12">
      <c r="A26" s="8">
        <v>18</v>
      </c>
      <c r="B26" s="7" t="s">
        <v>32</v>
      </c>
      <c r="C26" s="65">
        <f t="shared" si="1"/>
        <v>129406</v>
      </c>
      <c r="D26" s="65">
        <v>17535</v>
      </c>
      <c r="E26" s="65">
        <f t="shared" si="2"/>
        <v>10136</v>
      </c>
      <c r="F26" s="65">
        <v>9198</v>
      </c>
      <c r="G26" s="65">
        <v>938</v>
      </c>
      <c r="H26" s="65">
        <v>2759</v>
      </c>
      <c r="I26" s="65">
        <v>4470</v>
      </c>
      <c r="J26" s="65">
        <v>4336</v>
      </c>
      <c r="K26" s="65">
        <v>60358</v>
      </c>
      <c r="L26" s="65">
        <f t="shared" si="0"/>
        <v>1464</v>
      </c>
      <c r="M26" s="65">
        <v>884</v>
      </c>
      <c r="N26" s="65">
        <v>580</v>
      </c>
      <c r="O26" s="65"/>
      <c r="P26" s="65"/>
      <c r="Q26" s="65">
        <f>8807+2061</f>
        <v>10868</v>
      </c>
      <c r="R26" s="65">
        <f>18418-938</f>
        <v>17480</v>
      </c>
    </row>
    <row r="27" spans="1:19" s="66" customFormat="1" ht="24">
      <c r="A27" s="8">
        <v>19</v>
      </c>
      <c r="B27" s="9" t="s">
        <v>33</v>
      </c>
      <c r="C27" s="65">
        <f t="shared" si="1"/>
        <v>6000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>
        <v>6000</v>
      </c>
      <c r="Q27" s="65"/>
      <c r="R27" s="65"/>
    </row>
    <row r="28" spans="1:19" s="66" customFormat="1" ht="12">
      <c r="A28" s="8">
        <v>20</v>
      </c>
      <c r="B28" s="7" t="s">
        <v>34</v>
      </c>
      <c r="C28" s="65">
        <f t="shared" si="1"/>
        <v>134508</v>
      </c>
      <c r="D28" s="65">
        <v>15378</v>
      </c>
      <c r="E28" s="65">
        <f t="shared" si="2"/>
        <v>10950</v>
      </c>
      <c r="F28" s="65">
        <v>9896</v>
      </c>
      <c r="G28" s="65">
        <v>1054</v>
      </c>
      <c r="H28" s="65">
        <v>2969</v>
      </c>
      <c r="I28" s="65">
        <v>1921</v>
      </c>
      <c r="J28" s="65">
        <v>4340</v>
      </c>
      <c r="K28" s="65">
        <v>56503</v>
      </c>
      <c r="L28" s="65">
        <f t="shared" si="0"/>
        <v>1464</v>
      </c>
      <c r="M28" s="65">
        <v>893</v>
      </c>
      <c r="N28" s="65">
        <v>571</v>
      </c>
      <c r="O28" s="65"/>
      <c r="P28" s="65"/>
      <c r="Q28" s="65">
        <f>8123+2179</f>
        <v>10302</v>
      </c>
      <c r="R28" s="65">
        <f>31735-1054</f>
        <v>30681</v>
      </c>
    </row>
    <row r="29" spans="1:19" s="66" customFormat="1" ht="12">
      <c r="A29" s="8">
        <v>21</v>
      </c>
      <c r="B29" s="7" t="s">
        <v>35</v>
      </c>
      <c r="C29" s="65">
        <f t="shared" si="1"/>
        <v>4500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>
        <v>4500</v>
      </c>
      <c r="Q29" s="65"/>
      <c r="R29" s="65"/>
    </row>
    <row r="30" spans="1:19" s="66" customFormat="1" ht="12">
      <c r="A30" s="8">
        <v>22</v>
      </c>
      <c r="B30" s="7" t="s">
        <v>36</v>
      </c>
      <c r="C30" s="65">
        <f t="shared" si="1"/>
        <v>307234</v>
      </c>
      <c r="D30" s="65">
        <v>28044</v>
      </c>
      <c r="E30" s="65">
        <f t="shared" si="2"/>
        <v>26582</v>
      </c>
      <c r="F30" s="65">
        <v>24271</v>
      </c>
      <c r="G30" s="65">
        <v>2311</v>
      </c>
      <c r="H30" s="65">
        <v>7284</v>
      </c>
      <c r="I30" s="65">
        <v>1209</v>
      </c>
      <c r="J30" s="65">
        <v>12329</v>
      </c>
      <c r="K30" s="65">
        <v>118643</v>
      </c>
      <c r="L30" s="65">
        <f t="shared" si="0"/>
        <v>1464</v>
      </c>
      <c r="M30" s="65">
        <v>1024</v>
      </c>
      <c r="N30" s="65">
        <v>440</v>
      </c>
      <c r="O30" s="65"/>
      <c r="P30" s="65"/>
      <c r="Q30" s="65">
        <f>40919+4893</f>
        <v>45812</v>
      </c>
      <c r="R30" s="65">
        <f>68178-2311</f>
        <v>65867</v>
      </c>
    </row>
    <row r="31" spans="1:19" s="69" customFormat="1" ht="33.75" customHeight="1">
      <c r="A31" s="8">
        <v>23</v>
      </c>
      <c r="B31" s="71" t="s">
        <v>205</v>
      </c>
      <c r="C31" s="65">
        <f t="shared" si="1"/>
        <v>35650</v>
      </c>
      <c r="D31" s="68"/>
      <c r="E31" s="65">
        <f t="shared" si="2"/>
        <v>3655</v>
      </c>
      <c r="F31" s="68">
        <v>3377</v>
      </c>
      <c r="G31" s="65">
        <v>278</v>
      </c>
      <c r="H31" s="68">
        <v>949</v>
      </c>
      <c r="I31" s="68">
        <v>189</v>
      </c>
      <c r="J31" s="68">
        <v>1250</v>
      </c>
      <c r="K31" s="68">
        <v>12873</v>
      </c>
      <c r="L31" s="68"/>
      <c r="M31" s="68"/>
      <c r="N31" s="68"/>
      <c r="O31" s="68"/>
      <c r="P31" s="68"/>
      <c r="Q31" s="68">
        <f>5548+628</f>
        <v>6176</v>
      </c>
      <c r="R31" s="68">
        <f>10836-278</f>
        <v>10558</v>
      </c>
      <c r="S31" s="66"/>
    </row>
    <row r="32" spans="1:19" s="66" customFormat="1" ht="12">
      <c r="A32" s="8">
        <v>24</v>
      </c>
      <c r="B32" s="7" t="s">
        <v>38</v>
      </c>
      <c r="C32" s="65">
        <f t="shared" si="1"/>
        <v>94665</v>
      </c>
      <c r="D32" s="65"/>
      <c r="E32" s="65">
        <f t="shared" si="2"/>
        <v>9410</v>
      </c>
      <c r="F32" s="65">
        <v>8670</v>
      </c>
      <c r="G32" s="65">
        <v>740</v>
      </c>
      <c r="H32" s="65">
        <v>2601</v>
      </c>
      <c r="I32" s="65">
        <v>1843</v>
      </c>
      <c r="J32" s="65">
        <v>3200</v>
      </c>
      <c r="K32" s="65">
        <v>40700</v>
      </c>
      <c r="L32" s="65">
        <v>1464</v>
      </c>
      <c r="M32" s="65">
        <v>878</v>
      </c>
      <c r="N32" s="65">
        <v>586</v>
      </c>
      <c r="O32" s="65"/>
      <c r="P32" s="65"/>
      <c r="Q32" s="65">
        <f>14907+1649</f>
        <v>16556</v>
      </c>
      <c r="R32" s="65">
        <f>19631-740</f>
        <v>18891</v>
      </c>
    </row>
    <row r="33" spans="1:18" s="66" customFormat="1" ht="12">
      <c r="A33" s="8">
        <v>25</v>
      </c>
      <c r="B33" s="7" t="s">
        <v>39</v>
      </c>
      <c r="C33" s="65">
        <f t="shared" si="1"/>
        <v>43241</v>
      </c>
      <c r="D33" s="65"/>
      <c r="E33" s="65">
        <f t="shared" si="2"/>
        <v>4369</v>
      </c>
      <c r="F33" s="65">
        <v>4030</v>
      </c>
      <c r="G33" s="65">
        <v>339</v>
      </c>
      <c r="H33" s="65">
        <v>1088</v>
      </c>
      <c r="I33" s="65">
        <v>737</v>
      </c>
      <c r="J33" s="65">
        <v>1508</v>
      </c>
      <c r="K33" s="65">
        <v>20528</v>
      </c>
      <c r="L33" s="65"/>
      <c r="M33" s="65"/>
      <c r="N33" s="65"/>
      <c r="O33" s="65"/>
      <c r="P33" s="65"/>
      <c r="Q33" s="65">
        <f>7361+770</f>
        <v>8131</v>
      </c>
      <c r="R33" s="65">
        <f>7219-339</f>
        <v>6880</v>
      </c>
    </row>
    <row r="34" spans="1:18" s="66" customFormat="1" ht="12">
      <c r="A34" s="8">
        <v>26</v>
      </c>
      <c r="B34" s="7" t="s">
        <v>40</v>
      </c>
      <c r="C34" s="65">
        <f t="shared" si="1"/>
        <v>43089</v>
      </c>
      <c r="D34" s="65"/>
      <c r="E34" s="65">
        <f t="shared" si="2"/>
        <v>4357</v>
      </c>
      <c r="F34" s="65">
        <v>4012</v>
      </c>
      <c r="G34" s="65">
        <v>345</v>
      </c>
      <c r="H34" s="65">
        <v>988</v>
      </c>
      <c r="I34" s="65">
        <v>1074</v>
      </c>
      <c r="J34" s="65">
        <v>1517</v>
      </c>
      <c r="K34" s="65">
        <v>17220</v>
      </c>
      <c r="L34" s="65">
        <f t="shared" si="0"/>
        <v>1464</v>
      </c>
      <c r="M34" s="65">
        <v>976</v>
      </c>
      <c r="N34" s="65">
        <v>488</v>
      </c>
      <c r="O34" s="65"/>
      <c r="P34" s="65"/>
      <c r="Q34" s="65">
        <f>5832+745</f>
        <v>6577</v>
      </c>
      <c r="R34" s="65">
        <f>10237-345</f>
        <v>9892</v>
      </c>
    </row>
    <row r="35" spans="1:18" s="66" customFormat="1" ht="12">
      <c r="A35" s="8">
        <v>27</v>
      </c>
      <c r="B35" s="7" t="s">
        <v>41</v>
      </c>
      <c r="C35" s="65">
        <f t="shared" si="1"/>
        <v>47797</v>
      </c>
      <c r="D35" s="65"/>
      <c r="E35" s="65">
        <f t="shared" si="2"/>
        <v>5075</v>
      </c>
      <c r="F35" s="65">
        <v>4651</v>
      </c>
      <c r="G35" s="65">
        <v>424</v>
      </c>
      <c r="H35" s="65">
        <v>1412</v>
      </c>
      <c r="I35" s="65">
        <v>755</v>
      </c>
      <c r="J35" s="65">
        <v>1806</v>
      </c>
      <c r="K35" s="65">
        <v>16483</v>
      </c>
      <c r="L35" s="65"/>
      <c r="M35" s="65"/>
      <c r="N35" s="65"/>
      <c r="O35" s="65"/>
      <c r="P35" s="65"/>
      <c r="Q35" s="65">
        <f>6616+854</f>
        <v>7470</v>
      </c>
      <c r="R35" s="65">
        <f>15220-424</f>
        <v>14796</v>
      </c>
    </row>
    <row r="36" spans="1:18" s="66" customFormat="1" ht="12">
      <c r="A36" s="8">
        <v>28</v>
      </c>
      <c r="B36" s="7" t="s">
        <v>42</v>
      </c>
      <c r="C36" s="65">
        <f t="shared" si="1"/>
        <v>49276</v>
      </c>
      <c r="D36" s="65"/>
      <c r="E36" s="65">
        <f t="shared" si="2"/>
        <v>5406</v>
      </c>
      <c r="F36" s="65">
        <v>5010</v>
      </c>
      <c r="G36" s="65">
        <v>396</v>
      </c>
      <c r="H36" s="65">
        <v>1380</v>
      </c>
      <c r="I36" s="65">
        <v>546</v>
      </c>
      <c r="J36" s="65">
        <v>1753</v>
      </c>
      <c r="K36" s="65">
        <v>21425</v>
      </c>
      <c r="L36" s="65"/>
      <c r="M36" s="65"/>
      <c r="N36" s="65"/>
      <c r="O36" s="65"/>
      <c r="P36" s="65"/>
      <c r="Q36" s="65">
        <f>7750+871</f>
        <v>8621</v>
      </c>
      <c r="R36" s="65">
        <f>10541-396</f>
        <v>10145</v>
      </c>
    </row>
    <row r="37" spans="1:18" s="66" customFormat="1" ht="12">
      <c r="A37" s="8">
        <v>29</v>
      </c>
      <c r="B37" s="7" t="s">
        <v>43</v>
      </c>
      <c r="C37" s="65">
        <f t="shared" si="1"/>
        <v>54827</v>
      </c>
      <c r="D37" s="65"/>
      <c r="E37" s="65">
        <f t="shared" si="2"/>
        <v>4492</v>
      </c>
      <c r="F37" s="65">
        <v>4086</v>
      </c>
      <c r="G37" s="65">
        <v>406</v>
      </c>
      <c r="H37" s="65">
        <v>1273</v>
      </c>
      <c r="I37" s="65">
        <v>1421</v>
      </c>
      <c r="J37" s="65">
        <v>1500</v>
      </c>
      <c r="K37" s="65">
        <v>23885</v>
      </c>
      <c r="L37" s="65"/>
      <c r="M37" s="65"/>
      <c r="N37" s="65"/>
      <c r="O37" s="65"/>
      <c r="P37" s="65"/>
      <c r="Q37" s="65">
        <f>6550+969</f>
        <v>7519</v>
      </c>
      <c r="R37" s="65">
        <f>15143-406</f>
        <v>14737</v>
      </c>
    </row>
    <row r="38" spans="1:18" s="66" customFormat="1" ht="12">
      <c r="A38" s="8">
        <v>30</v>
      </c>
      <c r="B38" s="7" t="s">
        <v>44</v>
      </c>
      <c r="C38" s="65">
        <f t="shared" si="1"/>
        <v>52450</v>
      </c>
      <c r="D38" s="65"/>
      <c r="E38" s="65">
        <f t="shared" si="2"/>
        <v>5280</v>
      </c>
      <c r="F38" s="65">
        <v>4859</v>
      </c>
      <c r="G38" s="65">
        <v>421</v>
      </c>
      <c r="H38" s="65">
        <v>1332</v>
      </c>
      <c r="I38" s="65">
        <v>493</v>
      </c>
      <c r="J38" s="65">
        <v>1738</v>
      </c>
      <c r="K38" s="65">
        <v>19780</v>
      </c>
      <c r="L38" s="65">
        <v>1464</v>
      </c>
      <c r="M38" s="65">
        <v>878</v>
      </c>
      <c r="N38" s="65">
        <v>586</v>
      </c>
      <c r="O38" s="65"/>
      <c r="P38" s="65"/>
      <c r="Q38" s="65">
        <f>8880+909</f>
        <v>9789</v>
      </c>
      <c r="R38" s="65">
        <f>12995-421</f>
        <v>12574</v>
      </c>
    </row>
    <row r="39" spans="1:18" s="66" customFormat="1" ht="12">
      <c r="A39" s="8">
        <v>31</v>
      </c>
      <c r="B39" s="7" t="s">
        <v>45</v>
      </c>
      <c r="C39" s="65">
        <f t="shared" si="1"/>
        <v>55199</v>
      </c>
      <c r="D39" s="65"/>
      <c r="E39" s="65">
        <f t="shared" si="2"/>
        <v>5725</v>
      </c>
      <c r="F39" s="65">
        <v>5250</v>
      </c>
      <c r="G39" s="65">
        <v>475</v>
      </c>
      <c r="H39" s="65">
        <v>3675</v>
      </c>
      <c r="I39" s="65">
        <v>536</v>
      </c>
      <c r="J39" s="65">
        <v>2340</v>
      </c>
      <c r="K39" s="65">
        <v>23596</v>
      </c>
      <c r="L39" s="65"/>
      <c r="M39" s="65"/>
      <c r="N39" s="65"/>
      <c r="O39" s="65"/>
      <c r="P39" s="65"/>
      <c r="Q39" s="65">
        <f>5557+973</f>
        <v>6530</v>
      </c>
      <c r="R39" s="65">
        <f>13272-475</f>
        <v>12797</v>
      </c>
    </row>
    <row r="40" spans="1:18" s="66" customFormat="1" ht="12">
      <c r="A40" s="8">
        <v>32</v>
      </c>
      <c r="B40" s="7" t="s">
        <v>46</v>
      </c>
      <c r="C40" s="65">
        <f t="shared" si="1"/>
        <v>51021</v>
      </c>
      <c r="D40" s="65"/>
      <c r="E40" s="65">
        <f t="shared" si="2"/>
        <v>4773</v>
      </c>
      <c r="F40" s="65">
        <v>4400</v>
      </c>
      <c r="G40" s="65">
        <v>373</v>
      </c>
      <c r="H40" s="65">
        <v>1255</v>
      </c>
      <c r="I40" s="65">
        <v>707</v>
      </c>
      <c r="J40" s="65">
        <v>1500</v>
      </c>
      <c r="K40" s="65">
        <v>23203</v>
      </c>
      <c r="L40" s="65"/>
      <c r="M40" s="65"/>
      <c r="N40" s="65"/>
      <c r="O40" s="65"/>
      <c r="P40" s="65"/>
      <c r="Q40" s="65">
        <f>4477+903</f>
        <v>5380</v>
      </c>
      <c r="R40" s="65">
        <f>14576-373</f>
        <v>14203</v>
      </c>
    </row>
    <row r="41" spans="1:18" s="66" customFormat="1" ht="12">
      <c r="A41" s="8">
        <v>33</v>
      </c>
      <c r="B41" s="7" t="s">
        <v>47</v>
      </c>
      <c r="C41" s="65">
        <f t="shared" si="1"/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s="66" customFormat="1" ht="12">
      <c r="A42" s="8">
        <v>34</v>
      </c>
      <c r="B42" s="7" t="s">
        <v>48</v>
      </c>
      <c r="C42" s="65">
        <f t="shared" si="1"/>
        <v>0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s="66" customFormat="1" ht="12">
      <c r="A43" s="8">
        <v>35</v>
      </c>
      <c r="B43" s="7" t="s">
        <v>49</v>
      </c>
      <c r="C43" s="65">
        <f t="shared" si="1"/>
        <v>0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s="66" customFormat="1" ht="12">
      <c r="A44" s="8">
        <v>36</v>
      </c>
      <c r="B44" s="7" t="s">
        <v>50</v>
      </c>
      <c r="C44" s="65">
        <f t="shared" si="1"/>
        <v>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s="66" customFormat="1" ht="12">
      <c r="A45" s="8">
        <v>37</v>
      </c>
      <c r="B45" s="7" t="s">
        <v>51</v>
      </c>
      <c r="C45" s="65">
        <f t="shared" si="1"/>
        <v>0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>
        <f>1160-1160</f>
        <v>0</v>
      </c>
      <c r="Q45" s="65"/>
      <c r="R45" s="65"/>
    </row>
    <row r="46" spans="1:18" s="66" customFormat="1" ht="12">
      <c r="A46" s="8">
        <v>38</v>
      </c>
      <c r="B46" s="7" t="s">
        <v>54</v>
      </c>
      <c r="C46" s="65">
        <f t="shared" si="1"/>
        <v>0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>
        <f>200-200</f>
        <v>0</v>
      </c>
      <c r="Q46" s="65"/>
      <c r="R46" s="65"/>
    </row>
    <row r="47" spans="1:18" s="66" customFormat="1" ht="12">
      <c r="A47" s="8">
        <v>39</v>
      </c>
      <c r="B47" s="7" t="s">
        <v>55</v>
      </c>
      <c r="C47" s="65">
        <f t="shared" si="1"/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</row>
    <row r="48" spans="1:18" s="66" customFormat="1" ht="12">
      <c r="A48" s="8">
        <v>40</v>
      </c>
      <c r="B48" s="7" t="s">
        <v>57</v>
      </c>
      <c r="C48" s="65">
        <f t="shared" si="1"/>
        <v>0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s="66" customFormat="1" ht="12">
      <c r="A49" s="8">
        <v>41</v>
      </c>
      <c r="B49" s="7" t="s">
        <v>58</v>
      </c>
      <c r="C49" s="65">
        <f t="shared" si="1"/>
        <v>72179</v>
      </c>
      <c r="D49" s="65">
        <v>11711</v>
      </c>
      <c r="E49" s="65">
        <f t="shared" si="2"/>
        <v>5320</v>
      </c>
      <c r="F49" s="65">
        <v>4857</v>
      </c>
      <c r="G49" s="65">
        <v>463</v>
      </c>
      <c r="H49" s="65">
        <v>1370</v>
      </c>
      <c r="I49" s="65">
        <v>328</v>
      </c>
      <c r="J49" s="65">
        <v>2051</v>
      </c>
      <c r="K49" s="65">
        <v>30213</v>
      </c>
      <c r="L49" s="65">
        <f t="shared" si="0"/>
        <v>1464</v>
      </c>
      <c r="M49" s="65">
        <v>1200</v>
      </c>
      <c r="N49" s="65">
        <v>264</v>
      </c>
      <c r="O49" s="65"/>
      <c r="P49" s="65"/>
      <c r="Q49" s="65">
        <f>7858+1042</f>
        <v>8900</v>
      </c>
      <c r="R49" s="65">
        <f>11285-463</f>
        <v>10822</v>
      </c>
    </row>
    <row r="50" spans="1:18" s="66" customFormat="1" ht="12">
      <c r="A50" s="8">
        <v>42</v>
      </c>
      <c r="B50" s="7" t="s">
        <v>59</v>
      </c>
      <c r="C50" s="65">
        <f t="shared" si="1"/>
        <v>39056</v>
      </c>
      <c r="D50" s="65"/>
      <c r="E50" s="65">
        <f t="shared" si="2"/>
        <v>3882</v>
      </c>
      <c r="F50" s="65">
        <v>3561</v>
      </c>
      <c r="G50" s="65">
        <v>321</v>
      </c>
      <c r="H50" s="65">
        <v>1000</v>
      </c>
      <c r="I50" s="65">
        <v>3187</v>
      </c>
      <c r="J50" s="65">
        <v>1414</v>
      </c>
      <c r="K50" s="65">
        <v>19463</v>
      </c>
      <c r="L50" s="65"/>
      <c r="M50" s="65"/>
      <c r="N50" s="65"/>
      <c r="O50" s="65"/>
      <c r="P50" s="65"/>
      <c r="Q50" s="65">
        <f>2801+690</f>
        <v>3491</v>
      </c>
      <c r="R50" s="65">
        <f>6940-321</f>
        <v>6619</v>
      </c>
    </row>
    <row r="51" spans="1:18" s="66" customFormat="1" ht="12">
      <c r="A51" s="8">
        <v>43</v>
      </c>
      <c r="B51" s="7" t="s">
        <v>60</v>
      </c>
      <c r="C51" s="65">
        <f t="shared" si="1"/>
        <v>46816</v>
      </c>
      <c r="D51" s="65"/>
      <c r="E51" s="65">
        <f t="shared" si="2"/>
        <v>4660</v>
      </c>
      <c r="F51" s="65">
        <v>4276</v>
      </c>
      <c r="G51" s="65">
        <v>384</v>
      </c>
      <c r="H51" s="65">
        <v>958</v>
      </c>
      <c r="I51" s="65">
        <v>432</v>
      </c>
      <c r="J51" s="65">
        <v>1663</v>
      </c>
      <c r="K51" s="65">
        <v>22264</v>
      </c>
      <c r="L51" s="65"/>
      <c r="M51" s="65"/>
      <c r="N51" s="65"/>
      <c r="O51" s="65"/>
      <c r="P51" s="65"/>
      <c r="Q51" s="65">
        <f>4884+827</f>
        <v>5711</v>
      </c>
      <c r="R51" s="65">
        <f>11512-384</f>
        <v>11128</v>
      </c>
    </row>
    <row r="52" spans="1:18" s="66" customFormat="1" ht="12">
      <c r="A52" s="8">
        <v>44</v>
      </c>
      <c r="B52" s="7" t="s">
        <v>61</v>
      </c>
      <c r="C52" s="65">
        <f t="shared" si="1"/>
        <v>36600</v>
      </c>
      <c r="D52" s="65"/>
      <c r="E52" s="65">
        <f t="shared" si="2"/>
        <v>3582</v>
      </c>
      <c r="F52" s="65">
        <v>3291</v>
      </c>
      <c r="G52" s="65">
        <v>291</v>
      </c>
      <c r="H52" s="65">
        <v>900</v>
      </c>
      <c r="I52" s="65">
        <v>378</v>
      </c>
      <c r="J52" s="65">
        <v>1000</v>
      </c>
      <c r="K52" s="65">
        <v>17938</v>
      </c>
      <c r="L52" s="65"/>
      <c r="M52" s="65"/>
      <c r="N52" s="65"/>
      <c r="O52" s="65"/>
      <c r="P52" s="65"/>
      <c r="Q52" s="65">
        <f>6809+650</f>
        <v>7459</v>
      </c>
      <c r="R52" s="65">
        <f>5634-291</f>
        <v>5343</v>
      </c>
    </row>
    <row r="53" spans="1:18" s="66" customFormat="1" ht="12">
      <c r="A53" s="8">
        <v>45</v>
      </c>
      <c r="B53" s="7" t="s">
        <v>62</v>
      </c>
      <c r="C53" s="65">
        <f t="shared" si="1"/>
        <v>54389</v>
      </c>
      <c r="D53" s="65"/>
      <c r="E53" s="65">
        <f t="shared" si="2"/>
        <v>5296</v>
      </c>
      <c r="F53" s="65">
        <v>4894</v>
      </c>
      <c r="G53" s="65">
        <v>402</v>
      </c>
      <c r="H53" s="65">
        <v>1224</v>
      </c>
      <c r="I53" s="65">
        <v>1297</v>
      </c>
      <c r="J53" s="65">
        <v>1858</v>
      </c>
      <c r="K53" s="65">
        <v>25448</v>
      </c>
      <c r="L53" s="65"/>
      <c r="M53" s="65"/>
      <c r="N53" s="65"/>
      <c r="O53" s="65"/>
      <c r="P53" s="65"/>
      <c r="Q53" s="65">
        <f>8649+960</f>
        <v>9609</v>
      </c>
      <c r="R53" s="65">
        <f>10059-402</f>
        <v>9657</v>
      </c>
    </row>
    <row r="54" spans="1:18" s="66" customFormat="1" ht="24">
      <c r="A54" s="8">
        <v>46</v>
      </c>
      <c r="B54" s="9" t="s">
        <v>63</v>
      </c>
      <c r="C54" s="65">
        <f t="shared" si="1"/>
        <v>200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>
        <v>200</v>
      </c>
      <c r="Q54" s="65"/>
      <c r="R54" s="65"/>
    </row>
    <row r="55" spans="1:18" s="66" customFormat="1" ht="12">
      <c r="A55" s="8">
        <v>47</v>
      </c>
      <c r="B55" s="7" t="s">
        <v>64</v>
      </c>
      <c r="C55" s="65">
        <f t="shared" si="1"/>
        <v>133256</v>
      </c>
      <c r="D55" s="65">
        <v>16701</v>
      </c>
      <c r="E55" s="65">
        <f t="shared" si="2"/>
        <v>11128</v>
      </c>
      <c r="F55" s="65">
        <v>10200</v>
      </c>
      <c r="G55" s="65">
        <v>928</v>
      </c>
      <c r="H55" s="65">
        <v>2550</v>
      </c>
      <c r="I55" s="65">
        <v>2188</v>
      </c>
      <c r="J55" s="65">
        <v>4078</v>
      </c>
      <c r="K55" s="65">
        <v>60726</v>
      </c>
      <c r="L55" s="65">
        <v>1464</v>
      </c>
      <c r="M55" s="65">
        <v>1025</v>
      </c>
      <c r="N55" s="65">
        <v>439</v>
      </c>
      <c r="O55" s="65"/>
      <c r="P55" s="65"/>
      <c r="Q55" s="65">
        <f>10176+2123</f>
        <v>12299</v>
      </c>
      <c r="R55" s="65">
        <f>23050-928</f>
        <v>22122</v>
      </c>
    </row>
    <row r="56" spans="1:18" s="66" customFormat="1" ht="24">
      <c r="A56" s="8">
        <v>48</v>
      </c>
      <c r="B56" s="9" t="s">
        <v>65</v>
      </c>
      <c r="C56" s="65">
        <f t="shared" si="1"/>
        <v>5300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>
        <v>5300</v>
      </c>
      <c r="Q56" s="65"/>
      <c r="R56" s="65"/>
    </row>
    <row r="57" spans="1:18" s="66" customFormat="1" ht="12">
      <c r="A57" s="8">
        <v>49</v>
      </c>
      <c r="B57" s="7" t="s">
        <v>66</v>
      </c>
      <c r="C57" s="65">
        <f t="shared" si="1"/>
        <v>120315</v>
      </c>
      <c r="D57" s="65"/>
      <c r="E57" s="65">
        <f t="shared" si="2"/>
        <v>9927</v>
      </c>
      <c r="F57" s="65">
        <v>9065</v>
      </c>
      <c r="G57" s="65">
        <v>862</v>
      </c>
      <c r="H57" s="65">
        <v>2306</v>
      </c>
      <c r="I57" s="65">
        <v>1289</v>
      </c>
      <c r="J57" s="65">
        <v>3185</v>
      </c>
      <c r="K57" s="65">
        <v>62945</v>
      </c>
      <c r="L57" s="65"/>
      <c r="M57" s="65"/>
      <c r="N57" s="65"/>
      <c r="O57" s="65"/>
      <c r="P57" s="65"/>
      <c r="Q57" s="65">
        <f>14282+2120</f>
        <v>16402</v>
      </c>
      <c r="R57" s="65">
        <f>25123-862</f>
        <v>24261</v>
      </c>
    </row>
    <row r="58" spans="1:18" s="66" customFormat="1" ht="12">
      <c r="A58" s="8">
        <v>50</v>
      </c>
      <c r="B58" s="7" t="s">
        <v>67</v>
      </c>
      <c r="C58" s="65">
        <f t="shared" si="1"/>
        <v>64784</v>
      </c>
      <c r="D58" s="65"/>
      <c r="E58" s="65">
        <f t="shared" si="2"/>
        <v>6202</v>
      </c>
      <c r="F58" s="65">
        <v>5733</v>
      </c>
      <c r="G58" s="65">
        <v>469</v>
      </c>
      <c r="H58" s="65">
        <v>1580</v>
      </c>
      <c r="I58" s="65">
        <v>1506</v>
      </c>
      <c r="J58" s="65">
        <v>2135</v>
      </c>
      <c r="K58" s="65">
        <v>35398</v>
      </c>
      <c r="L58" s="65"/>
      <c r="M58" s="65"/>
      <c r="N58" s="65"/>
      <c r="O58" s="65"/>
      <c r="P58" s="65"/>
      <c r="Q58" s="65">
        <f>5400+1142</f>
        <v>6542</v>
      </c>
      <c r="R58" s="65">
        <f>11890-469</f>
        <v>11421</v>
      </c>
    </row>
    <row r="59" spans="1:18" s="66" customFormat="1" ht="12">
      <c r="A59" s="8">
        <v>51</v>
      </c>
      <c r="B59" s="7" t="s">
        <v>68</v>
      </c>
      <c r="C59" s="65">
        <f t="shared" si="1"/>
        <v>31777</v>
      </c>
      <c r="D59" s="65"/>
      <c r="E59" s="65">
        <f t="shared" si="2"/>
        <v>3189</v>
      </c>
      <c r="F59" s="65">
        <v>2942</v>
      </c>
      <c r="G59" s="65">
        <v>247</v>
      </c>
      <c r="H59" s="65">
        <v>883</v>
      </c>
      <c r="I59" s="65">
        <v>1881</v>
      </c>
      <c r="J59" s="65">
        <v>1109</v>
      </c>
      <c r="K59" s="65">
        <v>15682</v>
      </c>
      <c r="L59" s="65"/>
      <c r="M59" s="65"/>
      <c r="N59" s="65"/>
      <c r="O59" s="65"/>
      <c r="P59" s="65"/>
      <c r="Q59" s="65">
        <f>4082+560</f>
        <v>4642</v>
      </c>
      <c r="R59" s="65">
        <f>4638-247</f>
        <v>4391</v>
      </c>
    </row>
    <row r="60" spans="1:18" s="66" customFormat="1" ht="12">
      <c r="A60" s="8">
        <v>52</v>
      </c>
      <c r="B60" s="7" t="s">
        <v>69</v>
      </c>
      <c r="C60" s="65">
        <f t="shared" si="1"/>
        <v>0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1:18" s="66" customFormat="1" ht="12">
      <c r="A61" s="8">
        <v>53</v>
      </c>
      <c r="B61" s="7" t="s">
        <v>70</v>
      </c>
      <c r="C61" s="65">
        <f t="shared" si="1"/>
        <v>0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s="66" customFormat="1" ht="12">
      <c r="A62" s="8">
        <v>54</v>
      </c>
      <c r="B62" s="7" t="s">
        <v>71</v>
      </c>
      <c r="C62" s="65">
        <f t="shared" si="1"/>
        <v>60645</v>
      </c>
      <c r="D62" s="65"/>
      <c r="E62" s="65">
        <f t="shared" si="2"/>
        <v>13154</v>
      </c>
      <c r="F62" s="65">
        <v>12000</v>
      </c>
      <c r="G62" s="65">
        <v>1154</v>
      </c>
      <c r="H62" s="65">
        <v>3600</v>
      </c>
      <c r="I62" s="65"/>
      <c r="J62" s="65">
        <v>5754</v>
      </c>
      <c r="K62" s="65"/>
      <c r="L62" s="65"/>
      <c r="M62" s="65"/>
      <c r="N62" s="65"/>
      <c r="O62" s="65"/>
      <c r="P62" s="65"/>
      <c r="Q62" s="65">
        <f>8100+1913</f>
        <v>10013</v>
      </c>
      <c r="R62" s="65">
        <f>29278-1154</f>
        <v>28124</v>
      </c>
    </row>
    <row r="63" spans="1:18" s="66" customFormat="1" ht="24">
      <c r="A63" s="8">
        <v>55</v>
      </c>
      <c r="B63" s="9" t="s">
        <v>206</v>
      </c>
      <c r="C63" s="65">
        <f t="shared" si="1"/>
        <v>105101</v>
      </c>
      <c r="D63" s="65">
        <v>35974</v>
      </c>
      <c r="E63" s="65">
        <f t="shared" si="2"/>
        <v>13997</v>
      </c>
      <c r="F63" s="65">
        <v>12820</v>
      </c>
      <c r="G63" s="65">
        <v>1177</v>
      </c>
      <c r="H63" s="65">
        <v>3846</v>
      </c>
      <c r="I63" s="65"/>
      <c r="J63" s="65">
        <v>7044</v>
      </c>
      <c r="K63" s="65"/>
      <c r="L63" s="65">
        <f t="shared" si="0"/>
        <v>1464</v>
      </c>
      <c r="M63" s="65">
        <v>879</v>
      </c>
      <c r="N63" s="65">
        <v>585</v>
      </c>
      <c r="O63" s="65"/>
      <c r="P63" s="65"/>
      <c r="Q63" s="65">
        <f>21700+2133</f>
        <v>23833</v>
      </c>
      <c r="R63" s="65">
        <f>20120-1177</f>
        <v>18943</v>
      </c>
    </row>
    <row r="64" spans="1:18" s="66" customFormat="1" ht="12">
      <c r="A64" s="8">
        <v>56</v>
      </c>
      <c r="B64" s="9" t="s">
        <v>73</v>
      </c>
      <c r="C64" s="65">
        <f t="shared" si="1"/>
        <v>99217</v>
      </c>
      <c r="D64" s="65"/>
      <c r="E64" s="65">
        <f t="shared" si="2"/>
        <v>14400</v>
      </c>
      <c r="F64" s="65">
        <v>13160</v>
      </c>
      <c r="G64" s="65">
        <v>1240</v>
      </c>
      <c r="H64" s="65">
        <v>3608</v>
      </c>
      <c r="I64" s="65">
        <v>270</v>
      </c>
      <c r="J64" s="65">
        <v>6222</v>
      </c>
      <c r="K64" s="65">
        <v>31890</v>
      </c>
      <c r="L64" s="65">
        <v>1464</v>
      </c>
      <c r="M64" s="65">
        <v>878</v>
      </c>
      <c r="N64" s="65">
        <v>586</v>
      </c>
      <c r="O64" s="65"/>
      <c r="P64" s="65"/>
      <c r="Q64" s="65">
        <f>10575+2214</f>
        <v>12789</v>
      </c>
      <c r="R64" s="65">
        <f>29814-1240</f>
        <v>28574</v>
      </c>
    </row>
    <row r="65" spans="1:19" s="66" customFormat="1" ht="24">
      <c r="A65" s="8">
        <v>57</v>
      </c>
      <c r="B65" s="9" t="s">
        <v>207</v>
      </c>
      <c r="C65" s="65">
        <f t="shared" si="1"/>
        <v>59341</v>
      </c>
      <c r="D65" s="65"/>
      <c r="E65" s="65">
        <f t="shared" si="2"/>
        <v>5313</v>
      </c>
      <c r="F65" s="65">
        <v>4800</v>
      </c>
      <c r="G65" s="65">
        <v>513</v>
      </c>
      <c r="H65" s="65">
        <v>1440</v>
      </c>
      <c r="I65" s="65">
        <v>36</v>
      </c>
      <c r="J65" s="65">
        <v>2704</v>
      </c>
      <c r="K65" s="65">
        <v>30484</v>
      </c>
      <c r="L65" s="65"/>
      <c r="M65" s="65"/>
      <c r="N65" s="65"/>
      <c r="O65" s="65"/>
      <c r="P65" s="65"/>
      <c r="Q65" s="65">
        <f>8500+1124</f>
        <v>9624</v>
      </c>
      <c r="R65" s="65">
        <f>10253-513</f>
        <v>9740</v>
      </c>
    </row>
    <row r="66" spans="1:19" s="69" customFormat="1" ht="42.75" customHeight="1">
      <c r="A66" s="8">
        <v>58</v>
      </c>
      <c r="B66" s="67" t="s">
        <v>208</v>
      </c>
      <c r="C66" s="65">
        <f t="shared" si="1"/>
        <v>82970</v>
      </c>
      <c r="D66" s="68"/>
      <c r="E66" s="65">
        <f t="shared" si="2"/>
        <v>7725</v>
      </c>
      <c r="F66" s="68">
        <v>7073</v>
      </c>
      <c r="G66" s="65">
        <v>652</v>
      </c>
      <c r="H66" s="68">
        <v>2127</v>
      </c>
      <c r="I66" s="68">
        <v>495</v>
      </c>
      <c r="J66" s="68">
        <v>3101</v>
      </c>
      <c r="K66" s="68">
        <v>36725</v>
      </c>
      <c r="L66" s="68">
        <v>1464</v>
      </c>
      <c r="M66" s="68">
        <v>879</v>
      </c>
      <c r="N66" s="68">
        <v>585</v>
      </c>
      <c r="O66" s="68"/>
      <c r="P66" s="68"/>
      <c r="Q66" s="68">
        <f>9626+1439</f>
        <v>11065</v>
      </c>
      <c r="R66" s="68">
        <f>20920-652</f>
        <v>20268</v>
      </c>
      <c r="S66" s="66"/>
    </row>
    <row r="67" spans="1:19" s="66" customFormat="1" ht="25.5" customHeight="1">
      <c r="A67" s="8">
        <v>59</v>
      </c>
      <c r="B67" s="9" t="s">
        <v>209</v>
      </c>
      <c r="C67" s="65">
        <f t="shared" si="1"/>
        <v>1400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>
        <v>1400</v>
      </c>
      <c r="P67" s="65"/>
      <c r="Q67" s="65"/>
      <c r="R67" s="65"/>
    </row>
    <row r="68" spans="1:19" s="66" customFormat="1" ht="12">
      <c r="A68" s="8">
        <v>60</v>
      </c>
      <c r="B68" s="7" t="s">
        <v>76</v>
      </c>
      <c r="C68" s="65">
        <f t="shared" si="1"/>
        <v>215108</v>
      </c>
      <c r="D68" s="65">
        <v>10453</v>
      </c>
      <c r="E68" s="65"/>
      <c r="F68" s="65"/>
      <c r="G68" s="65"/>
      <c r="H68" s="65"/>
      <c r="I68" s="65">
        <v>2851</v>
      </c>
      <c r="J68" s="65"/>
      <c r="K68" s="65">
        <v>172192</v>
      </c>
      <c r="L68" s="65"/>
      <c r="M68" s="65"/>
      <c r="N68" s="65"/>
      <c r="O68" s="65"/>
      <c r="P68" s="65"/>
      <c r="Q68" s="65">
        <f>2041+1568</f>
        <v>3609</v>
      </c>
      <c r="R68" s="65">
        <v>26003</v>
      </c>
    </row>
    <row r="69" spans="1:19" s="66" customFormat="1" ht="12">
      <c r="A69" s="8">
        <v>61</v>
      </c>
      <c r="B69" s="7" t="s">
        <v>77</v>
      </c>
      <c r="C69" s="65">
        <f t="shared" si="1"/>
        <v>10266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>
        <v>10266</v>
      </c>
      <c r="Q69" s="65"/>
      <c r="R69" s="65"/>
    </row>
    <row r="70" spans="1:19" s="66" customFormat="1" ht="12">
      <c r="A70" s="8">
        <v>62</v>
      </c>
      <c r="B70" s="7" t="s">
        <v>78</v>
      </c>
      <c r="C70" s="65">
        <f t="shared" si="1"/>
        <v>11200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>
        <v>11200</v>
      </c>
      <c r="Q70" s="65"/>
      <c r="R70" s="65"/>
    </row>
    <row r="71" spans="1:19" s="66" customFormat="1" ht="24">
      <c r="A71" s="8">
        <v>63</v>
      </c>
      <c r="B71" s="9" t="s">
        <v>79</v>
      </c>
      <c r="C71" s="65">
        <f t="shared" si="1"/>
        <v>7664</v>
      </c>
      <c r="D71" s="65"/>
      <c r="E71" s="65">
        <f t="shared" si="2"/>
        <v>2543</v>
      </c>
      <c r="F71" s="65">
        <v>2379</v>
      </c>
      <c r="G71" s="65">
        <v>164</v>
      </c>
      <c r="H71" s="65">
        <v>713</v>
      </c>
      <c r="I71" s="65"/>
      <c r="J71" s="65">
        <v>1149</v>
      </c>
      <c r="K71" s="65"/>
      <c r="L71" s="65"/>
      <c r="M71" s="65"/>
      <c r="N71" s="65"/>
      <c r="O71" s="65"/>
      <c r="P71" s="65"/>
      <c r="Q71" s="65">
        <f>782</f>
        <v>782</v>
      </c>
      <c r="R71" s="65">
        <f>2641-164</f>
        <v>2477</v>
      </c>
    </row>
    <row r="72" spans="1:19" s="66" customFormat="1" ht="12">
      <c r="A72" s="8">
        <v>64</v>
      </c>
      <c r="B72" s="7" t="s">
        <v>80</v>
      </c>
      <c r="C72" s="65">
        <f t="shared" si="1"/>
        <v>187493</v>
      </c>
      <c r="D72" s="65">
        <v>8810</v>
      </c>
      <c r="E72" s="65">
        <f t="shared" si="2"/>
        <v>18053</v>
      </c>
      <c r="F72" s="65">
        <v>16601</v>
      </c>
      <c r="G72" s="65">
        <v>1452</v>
      </c>
      <c r="H72" s="65">
        <v>4150</v>
      </c>
      <c r="I72" s="65">
        <v>3127</v>
      </c>
      <c r="J72" s="65">
        <v>6209</v>
      </c>
      <c r="K72" s="65">
        <v>77822</v>
      </c>
      <c r="L72" s="65"/>
      <c r="M72" s="65"/>
      <c r="N72" s="65"/>
      <c r="O72" s="65"/>
      <c r="P72" s="65"/>
      <c r="Q72" s="65">
        <f>30930+3136</f>
        <v>34066</v>
      </c>
      <c r="R72" s="65">
        <f>36708-1452</f>
        <v>35256</v>
      </c>
    </row>
    <row r="73" spans="1:19" s="66" customFormat="1" ht="12">
      <c r="A73" s="8">
        <v>65</v>
      </c>
      <c r="B73" s="7" t="s">
        <v>81</v>
      </c>
      <c r="C73" s="65">
        <f t="shared" si="1"/>
        <v>146743</v>
      </c>
      <c r="D73" s="65">
        <v>14973</v>
      </c>
      <c r="E73" s="65">
        <f t="shared" si="2"/>
        <v>13063</v>
      </c>
      <c r="F73" s="65">
        <v>12082</v>
      </c>
      <c r="G73" s="65">
        <v>981</v>
      </c>
      <c r="H73" s="65">
        <v>2840</v>
      </c>
      <c r="I73" s="65">
        <v>2227</v>
      </c>
      <c r="J73" s="65">
        <v>4720</v>
      </c>
      <c r="K73" s="65">
        <v>52816</v>
      </c>
      <c r="L73" s="65"/>
      <c r="M73" s="65"/>
      <c r="N73" s="65"/>
      <c r="O73" s="65"/>
      <c r="P73" s="65"/>
      <c r="Q73" s="65">
        <f>16372+2313</f>
        <v>18685</v>
      </c>
      <c r="R73" s="65">
        <f>38400-981</f>
        <v>37419</v>
      </c>
    </row>
    <row r="74" spans="1:19" s="69" customFormat="1" ht="32.25" customHeight="1">
      <c r="A74" s="8">
        <v>66</v>
      </c>
      <c r="B74" s="67" t="s">
        <v>210</v>
      </c>
      <c r="C74" s="65">
        <f t="shared" ref="C74:C137" si="3">D74+E74+H74+I74+J74+K74+L74+O74+P74+Q74+R74</f>
        <v>48450</v>
      </c>
      <c r="D74" s="68"/>
      <c r="E74" s="65">
        <f t="shared" ref="E74:E137" si="4">F74+G74</f>
        <v>5051</v>
      </c>
      <c r="F74" s="68">
        <v>4507</v>
      </c>
      <c r="G74" s="65">
        <v>544</v>
      </c>
      <c r="H74" s="68">
        <v>1154</v>
      </c>
      <c r="I74" s="68">
        <v>962</v>
      </c>
      <c r="J74" s="68">
        <v>1667</v>
      </c>
      <c r="K74" s="68">
        <v>21004</v>
      </c>
      <c r="L74" s="65"/>
      <c r="M74" s="68"/>
      <c r="N74" s="68"/>
      <c r="O74" s="68"/>
      <c r="P74" s="68"/>
      <c r="Q74" s="68">
        <f>5788+850</f>
        <v>6638</v>
      </c>
      <c r="R74" s="68">
        <f>12518-544</f>
        <v>11974</v>
      </c>
      <c r="S74" s="66"/>
    </row>
    <row r="75" spans="1:19" s="66" customFormat="1" ht="12">
      <c r="A75" s="8">
        <v>67</v>
      </c>
      <c r="B75" s="7" t="s">
        <v>83</v>
      </c>
      <c r="C75" s="65">
        <f t="shared" si="3"/>
        <v>170848</v>
      </c>
      <c r="D75" s="65"/>
      <c r="E75" s="65">
        <f t="shared" si="4"/>
        <v>17732</v>
      </c>
      <c r="F75" s="65">
        <v>16323</v>
      </c>
      <c r="G75" s="65">
        <v>1409</v>
      </c>
      <c r="H75" s="65">
        <v>4897</v>
      </c>
      <c r="I75" s="65">
        <v>3853</v>
      </c>
      <c r="J75" s="65">
        <v>7107</v>
      </c>
      <c r="K75" s="65">
        <v>76844</v>
      </c>
      <c r="L75" s="65">
        <f t="shared" si="0"/>
        <v>1464</v>
      </c>
      <c r="M75" s="65">
        <v>1164</v>
      </c>
      <c r="N75" s="65">
        <v>300</v>
      </c>
      <c r="O75" s="65"/>
      <c r="P75" s="65"/>
      <c r="Q75" s="65">
        <f>20114+2992</f>
        <v>23106</v>
      </c>
      <c r="R75" s="65">
        <f>37254-1409</f>
        <v>35845</v>
      </c>
    </row>
    <row r="76" spans="1:19" s="66" customFormat="1" ht="12">
      <c r="A76" s="8">
        <v>68</v>
      </c>
      <c r="B76" s="7" t="s">
        <v>84</v>
      </c>
      <c r="C76" s="65">
        <f t="shared" si="3"/>
        <v>116274</v>
      </c>
      <c r="D76" s="65">
        <v>24093</v>
      </c>
      <c r="E76" s="65">
        <f t="shared" si="4"/>
        <v>26173</v>
      </c>
      <c r="F76" s="65">
        <v>24112</v>
      </c>
      <c r="G76" s="65">
        <v>2061</v>
      </c>
      <c r="H76" s="65">
        <v>6028</v>
      </c>
      <c r="I76" s="65">
        <v>0</v>
      </c>
      <c r="J76" s="65">
        <v>13198</v>
      </c>
      <c r="K76" s="65">
        <v>0</v>
      </c>
      <c r="L76" s="65">
        <f t="shared" si="0"/>
        <v>1464</v>
      </c>
      <c r="M76" s="65">
        <v>1025</v>
      </c>
      <c r="N76" s="65">
        <v>439</v>
      </c>
      <c r="O76" s="65"/>
      <c r="P76" s="65"/>
      <c r="Q76" s="65">
        <f>27978-16500+3413</f>
        <v>14891</v>
      </c>
      <c r="R76" s="65">
        <f>32488-2061</f>
        <v>30427</v>
      </c>
    </row>
    <row r="77" spans="1:19" s="69" customFormat="1" ht="33" customHeight="1">
      <c r="A77" s="8">
        <v>69</v>
      </c>
      <c r="B77" s="67" t="s">
        <v>85</v>
      </c>
      <c r="C77" s="65">
        <f t="shared" si="3"/>
        <v>130963</v>
      </c>
      <c r="D77" s="68"/>
      <c r="E77" s="65"/>
      <c r="F77" s="68"/>
      <c r="G77" s="65"/>
      <c r="H77" s="68"/>
      <c r="I77" s="68">
        <v>1800</v>
      </c>
      <c r="J77" s="68"/>
      <c r="K77" s="68">
        <v>117731</v>
      </c>
      <c r="L77" s="68"/>
      <c r="M77" s="68"/>
      <c r="N77" s="68"/>
      <c r="O77" s="68"/>
      <c r="P77" s="68"/>
      <c r="Q77" s="68">
        <f>3416+1003</f>
        <v>4419</v>
      </c>
      <c r="R77" s="68">
        <v>7013</v>
      </c>
      <c r="S77" s="66"/>
    </row>
    <row r="78" spans="1:19" s="69" customFormat="1" ht="14.25" customHeight="1">
      <c r="A78" s="8">
        <v>70</v>
      </c>
      <c r="B78" s="9" t="s">
        <v>211</v>
      </c>
      <c r="C78" s="65">
        <f t="shared" si="3"/>
        <v>16500</v>
      </c>
      <c r="D78" s="68"/>
      <c r="E78" s="65"/>
      <c r="F78" s="68"/>
      <c r="G78" s="65"/>
      <c r="H78" s="68"/>
      <c r="I78" s="68"/>
      <c r="J78" s="68"/>
      <c r="K78" s="68"/>
      <c r="L78" s="68"/>
      <c r="M78" s="68"/>
      <c r="N78" s="68"/>
      <c r="O78" s="68"/>
      <c r="P78" s="68"/>
      <c r="Q78" s="68">
        <v>16500</v>
      </c>
      <c r="R78" s="68"/>
      <c r="S78" s="66"/>
    </row>
    <row r="79" spans="1:19" s="66" customFormat="1" ht="24">
      <c r="A79" s="8">
        <v>71</v>
      </c>
      <c r="B79" s="9" t="s">
        <v>87</v>
      </c>
      <c r="C79" s="65">
        <f t="shared" si="3"/>
        <v>14000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>
        <v>14000</v>
      </c>
      <c r="Q79" s="65"/>
      <c r="R79" s="65"/>
    </row>
    <row r="80" spans="1:19" s="66" customFormat="1" ht="12">
      <c r="A80" s="8">
        <v>72</v>
      </c>
      <c r="B80" s="7" t="s">
        <v>88</v>
      </c>
      <c r="C80" s="65">
        <f t="shared" si="3"/>
        <v>11900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>
        <v>11900</v>
      </c>
      <c r="Q80" s="65"/>
      <c r="R80" s="65"/>
    </row>
    <row r="81" spans="1:18" s="66" customFormat="1" ht="12">
      <c r="A81" s="8">
        <v>73</v>
      </c>
      <c r="B81" s="7" t="s">
        <v>89</v>
      </c>
      <c r="C81" s="65">
        <f t="shared" si="3"/>
        <v>58356</v>
      </c>
      <c r="D81" s="65"/>
      <c r="E81" s="65">
        <f t="shared" si="4"/>
        <v>5636</v>
      </c>
      <c r="F81" s="65">
        <v>5221</v>
      </c>
      <c r="G81" s="65">
        <v>415</v>
      </c>
      <c r="H81" s="65">
        <v>1352</v>
      </c>
      <c r="I81" s="65">
        <v>225</v>
      </c>
      <c r="J81" s="65">
        <v>1923</v>
      </c>
      <c r="K81" s="65">
        <v>29142</v>
      </c>
      <c r="L81" s="65"/>
      <c r="M81" s="65"/>
      <c r="N81" s="65"/>
      <c r="O81" s="65"/>
      <c r="P81" s="65"/>
      <c r="Q81" s="65">
        <f>9490+1024</f>
        <v>10514</v>
      </c>
      <c r="R81" s="65">
        <f>9979-415</f>
        <v>9564</v>
      </c>
    </row>
    <row r="82" spans="1:18" s="66" customFormat="1" ht="12">
      <c r="A82" s="8">
        <v>74</v>
      </c>
      <c r="B82" s="7" t="s">
        <v>90</v>
      </c>
      <c r="C82" s="65">
        <f t="shared" si="3"/>
        <v>71336</v>
      </c>
      <c r="D82" s="65"/>
      <c r="E82" s="65">
        <f t="shared" si="4"/>
        <v>6903</v>
      </c>
      <c r="F82" s="65">
        <v>6385</v>
      </c>
      <c r="G82" s="65">
        <v>518</v>
      </c>
      <c r="H82" s="65">
        <v>1326</v>
      </c>
      <c r="I82" s="65">
        <v>360</v>
      </c>
      <c r="J82" s="65">
        <v>2393</v>
      </c>
      <c r="K82" s="65">
        <v>34511</v>
      </c>
      <c r="L82" s="65"/>
      <c r="M82" s="65"/>
      <c r="N82" s="65"/>
      <c r="O82" s="65"/>
      <c r="P82" s="65"/>
      <c r="Q82" s="65">
        <f>8446+1252</f>
        <v>9698</v>
      </c>
      <c r="R82" s="65">
        <f>16663-518</f>
        <v>16145</v>
      </c>
    </row>
    <row r="83" spans="1:18" s="66" customFormat="1" ht="12">
      <c r="A83" s="8">
        <v>75</v>
      </c>
      <c r="B83" s="7" t="s">
        <v>91</v>
      </c>
      <c r="C83" s="65">
        <f t="shared" si="3"/>
        <v>64762</v>
      </c>
      <c r="D83" s="65"/>
      <c r="E83" s="65">
        <f t="shared" si="4"/>
        <v>6400</v>
      </c>
      <c r="F83" s="65">
        <v>5892</v>
      </c>
      <c r="G83" s="65">
        <v>508</v>
      </c>
      <c r="H83" s="65">
        <v>1473</v>
      </c>
      <c r="I83" s="65">
        <v>387</v>
      </c>
      <c r="J83" s="65">
        <v>2057</v>
      </c>
      <c r="K83" s="65">
        <v>29662</v>
      </c>
      <c r="L83" s="65"/>
      <c r="M83" s="65"/>
      <c r="N83" s="65"/>
      <c r="O83" s="65"/>
      <c r="P83" s="65"/>
      <c r="Q83" s="65">
        <f>7600+1143</f>
        <v>8743</v>
      </c>
      <c r="R83" s="65">
        <f>16548-508</f>
        <v>16040</v>
      </c>
    </row>
    <row r="84" spans="1:18" s="66" customFormat="1" ht="12">
      <c r="A84" s="8">
        <v>76</v>
      </c>
      <c r="B84" s="7" t="s">
        <v>92</v>
      </c>
      <c r="C84" s="65">
        <f t="shared" si="3"/>
        <v>41434</v>
      </c>
      <c r="D84" s="65"/>
      <c r="E84" s="65">
        <f t="shared" si="4"/>
        <v>4284</v>
      </c>
      <c r="F84" s="65">
        <v>3930</v>
      </c>
      <c r="G84" s="65">
        <v>354</v>
      </c>
      <c r="H84" s="65">
        <v>1080</v>
      </c>
      <c r="I84" s="65">
        <v>1618</v>
      </c>
      <c r="J84" s="65">
        <v>1456</v>
      </c>
      <c r="K84" s="65">
        <v>17462</v>
      </c>
      <c r="L84" s="65"/>
      <c r="M84" s="65"/>
      <c r="N84" s="65"/>
      <c r="O84" s="65"/>
      <c r="P84" s="65"/>
      <c r="Q84" s="65">
        <f>4427+733</f>
        <v>5160</v>
      </c>
      <c r="R84" s="65">
        <f>10728-354</f>
        <v>10374</v>
      </c>
    </row>
    <row r="85" spans="1:18" s="66" customFormat="1" ht="12">
      <c r="A85" s="8">
        <v>77</v>
      </c>
      <c r="B85" s="7" t="s">
        <v>93</v>
      </c>
      <c r="C85" s="65">
        <f t="shared" si="3"/>
        <v>72073</v>
      </c>
      <c r="D85" s="65"/>
      <c r="E85" s="65">
        <f t="shared" si="4"/>
        <v>7429</v>
      </c>
      <c r="F85" s="65">
        <v>6837</v>
      </c>
      <c r="G85" s="65">
        <v>592</v>
      </c>
      <c r="H85" s="65">
        <v>1982</v>
      </c>
      <c r="I85" s="65">
        <v>1114</v>
      </c>
      <c r="J85" s="65">
        <v>2559</v>
      </c>
      <c r="K85" s="65">
        <v>28614</v>
      </c>
      <c r="L85" s="65"/>
      <c r="M85" s="65"/>
      <c r="N85" s="65"/>
      <c r="O85" s="65"/>
      <c r="P85" s="65"/>
      <c r="Q85" s="65">
        <f>4671+1273</f>
        <v>5944</v>
      </c>
      <c r="R85" s="65">
        <f>25023-592</f>
        <v>24431</v>
      </c>
    </row>
    <row r="86" spans="1:18" s="66" customFormat="1" ht="12">
      <c r="A86" s="8">
        <v>78</v>
      </c>
      <c r="B86" s="7" t="s">
        <v>94</v>
      </c>
      <c r="C86" s="65">
        <f t="shared" si="3"/>
        <v>34707</v>
      </c>
      <c r="D86" s="65"/>
      <c r="E86" s="65">
        <f t="shared" si="4"/>
        <v>3622</v>
      </c>
      <c r="F86" s="65">
        <v>3326</v>
      </c>
      <c r="G86" s="65">
        <v>296</v>
      </c>
      <c r="H86" s="65">
        <v>841</v>
      </c>
      <c r="I86" s="65">
        <v>881</v>
      </c>
      <c r="J86" s="65">
        <v>1122</v>
      </c>
      <c r="K86" s="65">
        <v>13477</v>
      </c>
      <c r="L86" s="65"/>
      <c r="M86" s="65"/>
      <c r="N86" s="65"/>
      <c r="O86" s="65"/>
      <c r="P86" s="65"/>
      <c r="Q86" s="65">
        <f>5379+609</f>
        <v>5988</v>
      </c>
      <c r="R86" s="65">
        <f>9072-296</f>
        <v>8776</v>
      </c>
    </row>
    <row r="87" spans="1:18" s="66" customFormat="1" ht="12">
      <c r="A87" s="8">
        <v>79</v>
      </c>
      <c r="B87" s="7" t="s">
        <v>96</v>
      </c>
      <c r="C87" s="65">
        <f t="shared" si="3"/>
        <v>17420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>
        <f>4133</f>
        <v>4133</v>
      </c>
      <c r="R87" s="65">
        <v>13287</v>
      </c>
    </row>
    <row r="88" spans="1:18" s="66" customFormat="1" ht="12">
      <c r="A88" s="8">
        <v>80</v>
      </c>
      <c r="B88" s="7" t="s">
        <v>98</v>
      </c>
      <c r="C88" s="65">
        <f t="shared" si="3"/>
        <v>264572</v>
      </c>
      <c r="D88" s="65">
        <v>5169</v>
      </c>
      <c r="E88" s="65">
        <f t="shared" si="4"/>
        <v>25781</v>
      </c>
      <c r="F88" s="65">
        <v>23683</v>
      </c>
      <c r="G88" s="65">
        <v>2098</v>
      </c>
      <c r="H88" s="65">
        <v>7143</v>
      </c>
      <c r="I88" s="65">
        <v>6398</v>
      </c>
      <c r="J88" s="65">
        <v>11638</v>
      </c>
      <c r="K88" s="65">
        <v>123522</v>
      </c>
      <c r="L88" s="65">
        <v>1464</v>
      </c>
      <c r="M88" s="65">
        <v>1064</v>
      </c>
      <c r="N88" s="65">
        <v>400</v>
      </c>
      <c r="O88" s="65"/>
      <c r="P88" s="65"/>
      <c r="Q88" s="65">
        <f>30604+4545</f>
        <v>35149</v>
      </c>
      <c r="R88" s="65">
        <f>50406-2098</f>
        <v>48308</v>
      </c>
    </row>
    <row r="89" spans="1:18" s="66" customFormat="1" ht="12">
      <c r="A89" s="8">
        <v>81</v>
      </c>
      <c r="B89" s="7" t="s">
        <v>99</v>
      </c>
      <c r="C89" s="65">
        <f t="shared" si="3"/>
        <v>241885</v>
      </c>
      <c r="D89" s="65">
        <v>39377</v>
      </c>
      <c r="E89" s="65">
        <f t="shared" si="4"/>
        <v>19073</v>
      </c>
      <c r="F89" s="65">
        <v>17300</v>
      </c>
      <c r="G89" s="65">
        <v>1773</v>
      </c>
      <c r="H89" s="65">
        <v>5191</v>
      </c>
      <c r="I89" s="65">
        <v>2845</v>
      </c>
      <c r="J89" s="65">
        <v>9600</v>
      </c>
      <c r="K89" s="65">
        <v>96379</v>
      </c>
      <c r="L89" s="65">
        <f t="shared" si="0"/>
        <v>1464</v>
      </c>
      <c r="M89" s="65">
        <v>1170</v>
      </c>
      <c r="N89" s="65">
        <v>294</v>
      </c>
      <c r="O89" s="65"/>
      <c r="P89" s="65"/>
      <c r="Q89" s="65">
        <f>27458+3751</f>
        <v>31209</v>
      </c>
      <c r="R89" s="65">
        <f>38520-1773</f>
        <v>36747</v>
      </c>
    </row>
    <row r="90" spans="1:18" s="66" customFormat="1" ht="24">
      <c r="A90" s="8">
        <v>82</v>
      </c>
      <c r="B90" s="9" t="s">
        <v>100</v>
      </c>
      <c r="C90" s="65">
        <f t="shared" si="3"/>
        <v>11200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>
        <v>11200</v>
      </c>
      <c r="Q90" s="65"/>
      <c r="R90" s="65"/>
    </row>
    <row r="91" spans="1:18" s="66" customFormat="1" ht="12">
      <c r="A91" s="8">
        <v>83</v>
      </c>
      <c r="B91" s="7" t="s">
        <v>101</v>
      </c>
      <c r="C91" s="65">
        <f t="shared" si="3"/>
        <v>58889</v>
      </c>
      <c r="D91" s="65"/>
      <c r="E91" s="65">
        <f t="shared" si="4"/>
        <v>6086</v>
      </c>
      <c r="F91" s="65">
        <v>5601</v>
      </c>
      <c r="G91" s="65">
        <v>485</v>
      </c>
      <c r="H91" s="65">
        <v>1942</v>
      </c>
      <c r="I91" s="65">
        <v>1170</v>
      </c>
      <c r="J91" s="65">
        <v>2032</v>
      </c>
      <c r="K91" s="65">
        <v>24734</v>
      </c>
      <c r="L91" s="65"/>
      <c r="M91" s="65"/>
      <c r="N91" s="65"/>
      <c r="O91" s="65"/>
      <c r="P91" s="65"/>
      <c r="Q91" s="65">
        <f>5839+1038</f>
        <v>6877</v>
      </c>
      <c r="R91" s="65">
        <f>16533-485</f>
        <v>16048</v>
      </c>
    </row>
    <row r="92" spans="1:18" s="66" customFormat="1" ht="12">
      <c r="A92" s="8">
        <v>84</v>
      </c>
      <c r="B92" s="7" t="s">
        <v>102</v>
      </c>
      <c r="C92" s="65">
        <f t="shared" si="3"/>
        <v>67608</v>
      </c>
      <c r="D92" s="65"/>
      <c r="E92" s="65">
        <f t="shared" si="4"/>
        <v>6249</v>
      </c>
      <c r="F92" s="65">
        <v>5700</v>
      </c>
      <c r="G92" s="65">
        <v>549</v>
      </c>
      <c r="H92" s="65">
        <v>1860</v>
      </c>
      <c r="I92" s="65">
        <v>1115</v>
      </c>
      <c r="J92" s="65">
        <v>1220</v>
      </c>
      <c r="K92" s="65">
        <v>29961</v>
      </c>
      <c r="L92" s="65"/>
      <c r="M92" s="65"/>
      <c r="N92" s="65"/>
      <c r="O92" s="65"/>
      <c r="P92" s="65"/>
      <c r="Q92" s="65">
        <f>10966+1196</f>
        <v>12162</v>
      </c>
      <c r="R92" s="65">
        <f>15590-549</f>
        <v>15041</v>
      </c>
    </row>
    <row r="93" spans="1:18" s="66" customFormat="1" ht="12">
      <c r="A93" s="8">
        <v>85</v>
      </c>
      <c r="B93" s="7" t="s">
        <v>103</v>
      </c>
      <c r="C93" s="65">
        <f t="shared" si="3"/>
        <v>46075</v>
      </c>
      <c r="D93" s="65"/>
      <c r="E93" s="65">
        <f t="shared" si="4"/>
        <v>4626</v>
      </c>
      <c r="F93" s="65">
        <v>4272</v>
      </c>
      <c r="G93" s="65">
        <v>354</v>
      </c>
      <c r="H93" s="65">
        <v>1267</v>
      </c>
      <c r="I93" s="65">
        <v>945</v>
      </c>
      <c r="J93" s="65">
        <v>1601</v>
      </c>
      <c r="K93" s="65">
        <v>20655</v>
      </c>
      <c r="L93" s="65"/>
      <c r="M93" s="65"/>
      <c r="N93" s="65"/>
      <c r="O93" s="65"/>
      <c r="P93" s="65"/>
      <c r="Q93" s="65">
        <f>8240+812</f>
        <v>9052</v>
      </c>
      <c r="R93" s="65">
        <f>8283-354</f>
        <v>7929</v>
      </c>
    </row>
    <row r="94" spans="1:18" s="66" customFormat="1" ht="12">
      <c r="A94" s="8">
        <v>86</v>
      </c>
      <c r="B94" s="7" t="s">
        <v>105</v>
      </c>
      <c r="C94" s="65">
        <f t="shared" si="3"/>
        <v>171002</v>
      </c>
      <c r="D94" s="65"/>
      <c r="E94" s="65"/>
      <c r="F94" s="65"/>
      <c r="G94" s="65"/>
      <c r="H94" s="65"/>
      <c r="I94" s="65">
        <v>2300</v>
      </c>
      <c r="J94" s="65"/>
      <c r="K94" s="65">
        <v>152712</v>
      </c>
      <c r="L94" s="65"/>
      <c r="M94" s="65"/>
      <c r="N94" s="65"/>
      <c r="O94" s="65"/>
      <c r="P94" s="65"/>
      <c r="Q94" s="65">
        <f>8791+1305</f>
        <v>10096</v>
      </c>
      <c r="R94" s="65">
        <v>5894</v>
      </c>
    </row>
    <row r="95" spans="1:18" s="66" customFormat="1" ht="12">
      <c r="A95" s="8">
        <v>87</v>
      </c>
      <c r="B95" s="7" t="s">
        <v>106</v>
      </c>
      <c r="C95" s="65">
        <f t="shared" si="3"/>
        <v>144965</v>
      </c>
      <c r="D95" s="65"/>
      <c r="E95" s="65"/>
      <c r="F95" s="65"/>
      <c r="G95" s="65"/>
      <c r="H95" s="65"/>
      <c r="I95" s="65">
        <v>3757</v>
      </c>
      <c r="J95" s="65"/>
      <c r="K95" s="65">
        <v>129406</v>
      </c>
      <c r="L95" s="65"/>
      <c r="M95" s="65"/>
      <c r="N95" s="65"/>
      <c r="O95" s="65"/>
      <c r="P95" s="65"/>
      <c r="Q95" s="65">
        <f>1276+1106</f>
        <v>2382</v>
      </c>
      <c r="R95" s="65">
        <v>9420</v>
      </c>
    </row>
    <row r="96" spans="1:18" s="66" customFormat="1" ht="12">
      <c r="A96" s="8">
        <v>88</v>
      </c>
      <c r="B96" s="7" t="s">
        <v>107</v>
      </c>
      <c r="C96" s="65">
        <f t="shared" si="3"/>
        <v>198576</v>
      </c>
      <c r="D96" s="65"/>
      <c r="E96" s="65"/>
      <c r="F96" s="65"/>
      <c r="G96" s="65"/>
      <c r="H96" s="65"/>
      <c r="I96" s="65">
        <v>582</v>
      </c>
      <c r="J96" s="65"/>
      <c r="K96" s="65">
        <v>183246</v>
      </c>
      <c r="L96" s="65"/>
      <c r="M96" s="65"/>
      <c r="N96" s="65"/>
      <c r="O96" s="65"/>
      <c r="P96" s="65"/>
      <c r="Q96" s="65">
        <f>9000+1494</f>
        <v>10494</v>
      </c>
      <c r="R96" s="65">
        <v>4254</v>
      </c>
    </row>
    <row r="97" spans="1:18" s="66" customFormat="1" ht="12">
      <c r="A97" s="8">
        <v>89</v>
      </c>
      <c r="B97" s="7" t="s">
        <v>108</v>
      </c>
      <c r="C97" s="65">
        <f t="shared" si="3"/>
        <v>257334</v>
      </c>
      <c r="D97" s="65">
        <v>14220</v>
      </c>
      <c r="E97" s="65"/>
      <c r="F97" s="65"/>
      <c r="G97" s="65"/>
      <c r="H97" s="65"/>
      <c r="I97" s="65">
        <v>3366</v>
      </c>
      <c r="J97" s="65"/>
      <c r="K97" s="65">
        <v>226163</v>
      </c>
      <c r="L97" s="65"/>
      <c r="M97" s="65"/>
      <c r="N97" s="65"/>
      <c r="O97" s="65"/>
      <c r="P97" s="65"/>
      <c r="Q97" s="65">
        <f>5300+1855</f>
        <v>7155</v>
      </c>
      <c r="R97" s="65">
        <v>6430</v>
      </c>
    </row>
    <row r="98" spans="1:18" s="66" customFormat="1" ht="12">
      <c r="A98" s="8">
        <v>90</v>
      </c>
      <c r="B98" s="7" t="s">
        <v>109</v>
      </c>
      <c r="C98" s="65">
        <f t="shared" si="3"/>
        <v>88919</v>
      </c>
      <c r="D98" s="65"/>
      <c r="E98" s="65"/>
      <c r="F98" s="65"/>
      <c r="G98" s="65"/>
      <c r="H98" s="65"/>
      <c r="I98" s="65">
        <v>675</v>
      </c>
      <c r="J98" s="65"/>
      <c r="K98" s="65">
        <v>78162</v>
      </c>
      <c r="L98" s="65"/>
      <c r="M98" s="65"/>
      <c r="N98" s="65"/>
      <c r="O98" s="65"/>
      <c r="P98" s="65"/>
      <c r="Q98" s="65">
        <f>2600+676</f>
        <v>3276</v>
      </c>
      <c r="R98" s="65">
        <v>6806</v>
      </c>
    </row>
    <row r="99" spans="1:18" s="66" customFormat="1" ht="12">
      <c r="A99" s="8">
        <v>91</v>
      </c>
      <c r="B99" s="7" t="s">
        <v>110</v>
      </c>
      <c r="C99" s="65">
        <f t="shared" si="3"/>
        <v>24000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>
        <v>24000</v>
      </c>
      <c r="Q99" s="65"/>
      <c r="R99" s="65"/>
    </row>
    <row r="100" spans="1:18" s="66" customFormat="1" ht="12">
      <c r="A100" s="8">
        <v>92</v>
      </c>
      <c r="B100" s="7" t="s">
        <v>111</v>
      </c>
      <c r="C100" s="65">
        <f t="shared" si="3"/>
        <v>25596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>
        <v>25596</v>
      </c>
      <c r="Q100" s="65"/>
      <c r="R100" s="65"/>
    </row>
    <row r="101" spans="1:18" s="66" customFormat="1" ht="12">
      <c r="A101" s="8">
        <v>93</v>
      </c>
      <c r="B101" s="7" t="s">
        <v>112</v>
      </c>
      <c r="C101" s="65">
        <f t="shared" si="3"/>
        <v>69648</v>
      </c>
      <c r="D101" s="65"/>
      <c r="E101" s="65">
        <f t="shared" si="4"/>
        <v>15753</v>
      </c>
      <c r="F101" s="65">
        <v>14996</v>
      </c>
      <c r="G101" s="65">
        <v>757</v>
      </c>
      <c r="H101" s="65">
        <v>2076</v>
      </c>
      <c r="I101" s="65"/>
      <c r="J101" s="65">
        <v>4811</v>
      </c>
      <c r="K101" s="65">
        <v>27468</v>
      </c>
      <c r="L101" s="65"/>
      <c r="M101" s="65"/>
      <c r="N101" s="65"/>
      <c r="O101" s="65"/>
      <c r="P101" s="65"/>
      <c r="Q101" s="65">
        <f>2380+2526</f>
        <v>4906</v>
      </c>
      <c r="R101" s="65">
        <f>15391-757</f>
        <v>14634</v>
      </c>
    </row>
    <row r="102" spans="1:18" s="66" customFormat="1" ht="12">
      <c r="A102" s="8">
        <v>94</v>
      </c>
      <c r="B102" s="7" t="s">
        <v>113</v>
      </c>
      <c r="C102" s="65">
        <f t="shared" si="3"/>
        <v>56833</v>
      </c>
      <c r="D102" s="65">
        <v>17433</v>
      </c>
      <c r="E102" s="65">
        <f t="shared" si="4"/>
        <v>10548</v>
      </c>
      <c r="F102" s="65">
        <v>9701</v>
      </c>
      <c r="G102" s="65">
        <v>847</v>
      </c>
      <c r="H102" s="65">
        <v>2910</v>
      </c>
      <c r="I102" s="65"/>
      <c r="J102" s="65">
        <v>5166</v>
      </c>
      <c r="K102" s="65"/>
      <c r="L102" s="65"/>
      <c r="M102" s="65"/>
      <c r="N102" s="65"/>
      <c r="O102" s="65"/>
      <c r="P102" s="65"/>
      <c r="Q102" s="65">
        <f>4403+1467</f>
        <v>5870</v>
      </c>
      <c r="R102" s="65">
        <f>15753-847</f>
        <v>14906</v>
      </c>
    </row>
    <row r="103" spans="1:18" s="66" customFormat="1" ht="12">
      <c r="A103" s="8">
        <v>95</v>
      </c>
      <c r="B103" s="7" t="s">
        <v>114</v>
      </c>
      <c r="C103" s="65">
        <f t="shared" si="3"/>
        <v>39625</v>
      </c>
      <c r="D103" s="65"/>
      <c r="E103" s="65">
        <f t="shared" si="4"/>
        <v>9479</v>
      </c>
      <c r="F103" s="65">
        <f>7973+675</f>
        <v>8648</v>
      </c>
      <c r="G103" s="65">
        <v>831</v>
      </c>
      <c r="H103" s="65">
        <v>1993</v>
      </c>
      <c r="I103" s="65"/>
      <c r="J103" s="65">
        <v>4602</v>
      </c>
      <c r="K103" s="65"/>
      <c r="L103" s="65"/>
      <c r="M103" s="65"/>
      <c r="N103" s="65"/>
      <c r="O103" s="65"/>
      <c r="P103" s="65"/>
      <c r="Q103" s="65">
        <f>9861+1400</f>
        <v>11261</v>
      </c>
      <c r="R103" s="65">
        <f>13121-831</f>
        <v>12290</v>
      </c>
    </row>
    <row r="104" spans="1:18" s="66" customFormat="1" ht="12">
      <c r="A104" s="8">
        <v>96</v>
      </c>
      <c r="B104" s="7" t="s">
        <v>115</v>
      </c>
      <c r="C104" s="65">
        <f t="shared" si="3"/>
        <v>54767</v>
      </c>
      <c r="D104" s="65">
        <v>26129</v>
      </c>
      <c r="E104" s="65">
        <f t="shared" si="4"/>
        <v>7471</v>
      </c>
      <c r="F104" s="65">
        <v>6883</v>
      </c>
      <c r="G104" s="65">
        <v>588</v>
      </c>
      <c r="H104" s="65">
        <v>1720</v>
      </c>
      <c r="I104" s="65"/>
      <c r="J104" s="65">
        <v>3340</v>
      </c>
      <c r="K104" s="65"/>
      <c r="L104" s="65"/>
      <c r="M104" s="65"/>
      <c r="N104" s="65"/>
      <c r="O104" s="65"/>
      <c r="P104" s="65"/>
      <c r="Q104" s="65">
        <f>4099+1050</f>
        <v>5149</v>
      </c>
      <c r="R104" s="65">
        <f>11546-588</f>
        <v>10958</v>
      </c>
    </row>
    <row r="105" spans="1:18" s="66" customFormat="1" ht="12">
      <c r="A105" s="8">
        <v>97</v>
      </c>
      <c r="B105" s="7" t="s">
        <v>116</v>
      </c>
      <c r="C105" s="65">
        <f t="shared" si="3"/>
        <v>96306</v>
      </c>
      <c r="D105" s="65"/>
      <c r="E105" s="65">
        <f t="shared" si="4"/>
        <v>17972</v>
      </c>
      <c r="F105" s="65">
        <v>16298</v>
      </c>
      <c r="G105" s="65">
        <v>1674</v>
      </c>
      <c r="H105" s="65">
        <v>4750</v>
      </c>
      <c r="I105" s="65"/>
      <c r="J105" s="65">
        <v>8797</v>
      </c>
      <c r="K105" s="65"/>
      <c r="L105" s="65">
        <f t="shared" ref="L105:L163" si="5">M105+N105</f>
        <v>1464</v>
      </c>
      <c r="M105" s="65">
        <v>878</v>
      </c>
      <c r="N105" s="65">
        <v>586</v>
      </c>
      <c r="O105" s="65"/>
      <c r="P105" s="65"/>
      <c r="Q105" s="65">
        <f>31401+2763</f>
        <v>34164</v>
      </c>
      <c r="R105" s="65">
        <f>30833-1674</f>
        <v>29159</v>
      </c>
    </row>
    <row r="106" spans="1:18" s="66" customFormat="1" ht="12">
      <c r="A106" s="8">
        <v>98</v>
      </c>
      <c r="B106" s="7" t="s">
        <v>117</v>
      </c>
      <c r="C106" s="65">
        <f t="shared" si="3"/>
        <v>48679</v>
      </c>
      <c r="D106" s="65"/>
      <c r="E106" s="65">
        <f t="shared" si="4"/>
        <v>10473</v>
      </c>
      <c r="F106" s="65">
        <v>9664</v>
      </c>
      <c r="G106" s="65">
        <v>809</v>
      </c>
      <c r="H106" s="65">
        <v>2899</v>
      </c>
      <c r="I106" s="65"/>
      <c r="J106" s="65">
        <v>5000</v>
      </c>
      <c r="K106" s="65"/>
      <c r="L106" s="65"/>
      <c r="M106" s="65"/>
      <c r="N106" s="65"/>
      <c r="O106" s="65"/>
      <c r="P106" s="65"/>
      <c r="Q106" s="65">
        <f>14084+1411</f>
        <v>15495</v>
      </c>
      <c r="R106" s="65">
        <f>15621-809</f>
        <v>14812</v>
      </c>
    </row>
    <row r="107" spans="1:18" s="66" customFormat="1" ht="12">
      <c r="A107" s="8">
        <v>99</v>
      </c>
      <c r="B107" s="7" t="s">
        <v>118</v>
      </c>
      <c r="C107" s="65">
        <f t="shared" si="3"/>
        <v>61422</v>
      </c>
      <c r="D107" s="65">
        <v>17135</v>
      </c>
      <c r="E107" s="65">
        <f t="shared" si="4"/>
        <v>11113</v>
      </c>
      <c r="F107" s="65">
        <v>10200</v>
      </c>
      <c r="G107" s="65">
        <v>913</v>
      </c>
      <c r="H107" s="65">
        <v>2550</v>
      </c>
      <c r="I107" s="65"/>
      <c r="J107" s="65">
        <v>4605</v>
      </c>
      <c r="K107" s="65"/>
      <c r="L107" s="65">
        <f t="shared" si="5"/>
        <v>1464</v>
      </c>
      <c r="M107" s="65">
        <v>1025</v>
      </c>
      <c r="N107" s="65">
        <v>439</v>
      </c>
      <c r="O107" s="65"/>
      <c r="P107" s="65"/>
      <c r="Q107" s="65">
        <f>5950+1586</f>
        <v>7536</v>
      </c>
      <c r="R107" s="65">
        <f>17932-913</f>
        <v>17019</v>
      </c>
    </row>
    <row r="108" spans="1:18" s="66" customFormat="1" ht="12">
      <c r="A108" s="8">
        <v>100</v>
      </c>
      <c r="B108" s="7" t="s">
        <v>119</v>
      </c>
      <c r="C108" s="65">
        <f t="shared" si="3"/>
        <v>25887</v>
      </c>
      <c r="D108" s="65"/>
      <c r="E108" s="65">
        <f t="shared" si="4"/>
        <v>6662</v>
      </c>
      <c r="F108" s="65">
        <v>6112</v>
      </c>
      <c r="G108" s="65">
        <v>550</v>
      </c>
      <c r="H108" s="65">
        <v>1534</v>
      </c>
      <c r="I108" s="65"/>
      <c r="J108" s="65">
        <v>3109</v>
      </c>
      <c r="K108" s="65"/>
      <c r="L108" s="65"/>
      <c r="M108" s="65"/>
      <c r="N108" s="65"/>
      <c r="O108" s="65"/>
      <c r="P108" s="65"/>
      <c r="Q108" s="65">
        <f>2687+958</f>
        <v>3645</v>
      </c>
      <c r="R108" s="65">
        <f>11487-550</f>
        <v>10937</v>
      </c>
    </row>
    <row r="109" spans="1:18" s="66" customFormat="1" ht="12">
      <c r="A109" s="8">
        <v>101</v>
      </c>
      <c r="B109" s="7" t="s">
        <v>120</v>
      </c>
      <c r="C109" s="65">
        <f t="shared" si="3"/>
        <v>101070</v>
      </c>
      <c r="D109" s="65"/>
      <c r="E109" s="65">
        <f t="shared" si="4"/>
        <v>20252</v>
      </c>
      <c r="F109" s="65">
        <v>18665</v>
      </c>
      <c r="G109" s="65">
        <v>1587</v>
      </c>
      <c r="H109" s="65">
        <v>5730</v>
      </c>
      <c r="I109" s="65"/>
      <c r="J109" s="65">
        <v>9009</v>
      </c>
      <c r="K109" s="65"/>
      <c r="L109" s="65">
        <f t="shared" si="5"/>
        <v>1464</v>
      </c>
      <c r="M109" s="65">
        <v>1200</v>
      </c>
      <c r="N109" s="65">
        <v>264</v>
      </c>
      <c r="O109" s="65"/>
      <c r="P109" s="65"/>
      <c r="Q109" s="65">
        <f>26217+2779</f>
        <v>28996</v>
      </c>
      <c r="R109" s="65">
        <f>37206-1587</f>
        <v>35619</v>
      </c>
    </row>
    <row r="110" spans="1:18" s="66" customFormat="1" ht="12">
      <c r="A110" s="8">
        <v>102</v>
      </c>
      <c r="B110" s="7" t="s">
        <v>121</v>
      </c>
      <c r="C110" s="65">
        <f t="shared" si="3"/>
        <v>33933</v>
      </c>
      <c r="D110" s="65"/>
      <c r="E110" s="65">
        <f t="shared" si="4"/>
        <v>8903</v>
      </c>
      <c r="F110" s="65">
        <v>8300</v>
      </c>
      <c r="G110" s="65">
        <v>603</v>
      </c>
      <c r="H110" s="65">
        <v>2075</v>
      </c>
      <c r="I110" s="65"/>
      <c r="J110" s="65">
        <v>4100</v>
      </c>
      <c r="K110" s="65"/>
      <c r="L110" s="65"/>
      <c r="M110" s="65"/>
      <c r="N110" s="65"/>
      <c r="O110" s="65"/>
      <c r="P110" s="65"/>
      <c r="Q110" s="65">
        <f>5316+1246</f>
        <v>6562</v>
      </c>
      <c r="R110" s="65">
        <f>12896-603</f>
        <v>12293</v>
      </c>
    </row>
    <row r="111" spans="1:18" s="66" customFormat="1" ht="12">
      <c r="A111" s="8">
        <v>103</v>
      </c>
      <c r="B111" s="7" t="s">
        <v>122</v>
      </c>
      <c r="C111" s="65">
        <f t="shared" si="3"/>
        <v>34892</v>
      </c>
      <c r="D111" s="65"/>
      <c r="E111" s="65">
        <f t="shared" si="4"/>
        <v>7532</v>
      </c>
      <c r="F111" s="65">
        <f>6120+800</f>
        <v>6920</v>
      </c>
      <c r="G111" s="65">
        <v>612</v>
      </c>
      <c r="H111" s="65">
        <v>1530</v>
      </c>
      <c r="I111" s="65"/>
      <c r="J111" s="65">
        <v>2500</v>
      </c>
      <c r="K111" s="65"/>
      <c r="L111" s="65"/>
      <c r="M111" s="65"/>
      <c r="N111" s="65"/>
      <c r="O111" s="65"/>
      <c r="P111" s="65"/>
      <c r="Q111" s="65">
        <f>7925+1830</f>
        <v>9755</v>
      </c>
      <c r="R111" s="65">
        <f>14187-612</f>
        <v>13575</v>
      </c>
    </row>
    <row r="112" spans="1:18" s="66" customFormat="1" ht="12">
      <c r="A112" s="8">
        <v>104</v>
      </c>
      <c r="B112" s="7" t="s">
        <v>123</v>
      </c>
      <c r="C112" s="65">
        <f t="shared" si="3"/>
        <v>1795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>
        <v>1795</v>
      </c>
      <c r="Q112" s="65"/>
      <c r="R112" s="65"/>
    </row>
    <row r="113" spans="1:18" s="66" customFormat="1" ht="12">
      <c r="A113" s="8">
        <v>105</v>
      </c>
      <c r="B113" s="7" t="s">
        <v>124</v>
      </c>
      <c r="C113" s="65">
        <f t="shared" si="3"/>
        <v>2071</v>
      </c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>
        <v>2071</v>
      </c>
      <c r="Q113" s="65"/>
      <c r="R113" s="65"/>
    </row>
    <row r="114" spans="1:18" s="66" customFormat="1" ht="12">
      <c r="A114" s="8">
        <v>106</v>
      </c>
      <c r="B114" s="7" t="s">
        <v>125</v>
      </c>
      <c r="C114" s="65">
        <f t="shared" si="3"/>
        <v>2283</v>
      </c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>
        <v>2283</v>
      </c>
      <c r="Q114" s="65"/>
      <c r="R114" s="65"/>
    </row>
    <row r="115" spans="1:18" s="66" customFormat="1" ht="12">
      <c r="A115" s="8">
        <v>107</v>
      </c>
      <c r="B115" s="7" t="s">
        <v>126</v>
      </c>
      <c r="C115" s="65">
        <f t="shared" si="3"/>
        <v>2058</v>
      </c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>
        <v>2058</v>
      </c>
      <c r="Q115" s="65"/>
      <c r="R115" s="65"/>
    </row>
    <row r="116" spans="1:18" s="66" customFormat="1" ht="12">
      <c r="A116" s="8">
        <v>108</v>
      </c>
      <c r="B116" s="7" t="s">
        <v>127</v>
      </c>
      <c r="C116" s="65">
        <f t="shared" si="3"/>
        <v>10200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>
        <v>10200</v>
      </c>
      <c r="Q116" s="65"/>
      <c r="R116" s="65"/>
    </row>
    <row r="117" spans="1:18" s="66" customFormat="1" ht="12">
      <c r="A117" s="8">
        <v>109</v>
      </c>
      <c r="B117" s="7" t="s">
        <v>128</v>
      </c>
      <c r="C117" s="65">
        <f t="shared" si="3"/>
        <v>1848</v>
      </c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>
        <v>1848</v>
      </c>
      <c r="Q117" s="65"/>
      <c r="R117" s="65"/>
    </row>
    <row r="118" spans="1:18" s="66" customFormat="1" ht="12">
      <c r="A118" s="8">
        <v>110</v>
      </c>
      <c r="B118" s="7" t="s">
        <v>129</v>
      </c>
      <c r="C118" s="65">
        <f t="shared" si="3"/>
        <v>1554</v>
      </c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>
        <v>1554</v>
      </c>
      <c r="Q118" s="65"/>
      <c r="R118" s="65"/>
    </row>
    <row r="119" spans="1:18" s="66" customFormat="1" ht="12">
      <c r="A119" s="8">
        <v>111</v>
      </c>
      <c r="B119" s="7" t="s">
        <v>130</v>
      </c>
      <c r="C119" s="65">
        <f t="shared" si="3"/>
        <v>151576</v>
      </c>
      <c r="D119" s="65">
        <v>13512</v>
      </c>
      <c r="E119" s="65">
        <f t="shared" si="4"/>
        <v>11112</v>
      </c>
      <c r="F119" s="65">
        <v>10229</v>
      </c>
      <c r="G119" s="65">
        <v>883</v>
      </c>
      <c r="H119" s="65">
        <v>2662</v>
      </c>
      <c r="I119" s="65">
        <v>1599</v>
      </c>
      <c r="J119" s="65">
        <v>5500</v>
      </c>
      <c r="K119" s="65">
        <v>70627</v>
      </c>
      <c r="L119" s="65"/>
      <c r="M119" s="65"/>
      <c r="N119" s="65"/>
      <c r="O119" s="65"/>
      <c r="P119" s="65"/>
      <c r="Q119" s="65">
        <f>17450+2211</f>
        <v>19661</v>
      </c>
      <c r="R119" s="65">
        <f>27786-883</f>
        <v>26903</v>
      </c>
    </row>
    <row r="120" spans="1:18" s="66" customFormat="1" ht="12">
      <c r="A120" s="8">
        <v>112</v>
      </c>
      <c r="B120" s="7" t="s">
        <v>131</v>
      </c>
      <c r="C120" s="65">
        <f t="shared" si="3"/>
        <v>62299</v>
      </c>
      <c r="D120" s="65"/>
      <c r="E120" s="65">
        <f t="shared" si="4"/>
        <v>11267</v>
      </c>
      <c r="F120" s="65">
        <v>10313</v>
      </c>
      <c r="G120" s="65">
        <v>954</v>
      </c>
      <c r="H120" s="65">
        <v>1800</v>
      </c>
      <c r="I120" s="65"/>
      <c r="J120" s="65">
        <v>6226</v>
      </c>
      <c r="K120" s="65"/>
      <c r="L120" s="65">
        <f t="shared" si="5"/>
        <v>1464</v>
      </c>
      <c r="M120" s="65">
        <v>1014</v>
      </c>
      <c r="N120" s="65">
        <v>450</v>
      </c>
      <c r="O120" s="65"/>
      <c r="P120" s="65"/>
      <c r="Q120" s="65">
        <f>22103+1577</f>
        <v>23680</v>
      </c>
      <c r="R120" s="65">
        <f>18816-954</f>
        <v>17862</v>
      </c>
    </row>
    <row r="121" spans="1:18" s="66" customFormat="1" ht="12">
      <c r="A121" s="8">
        <v>113</v>
      </c>
      <c r="B121" s="7" t="s">
        <v>132</v>
      </c>
      <c r="C121" s="65">
        <f t="shared" si="3"/>
        <v>49439</v>
      </c>
      <c r="D121" s="65"/>
      <c r="E121" s="65">
        <f t="shared" si="4"/>
        <v>9426</v>
      </c>
      <c r="F121" s="65">
        <v>8650</v>
      </c>
      <c r="G121" s="65">
        <v>776</v>
      </c>
      <c r="H121" s="65">
        <v>2510</v>
      </c>
      <c r="I121" s="65"/>
      <c r="J121" s="65">
        <v>4642</v>
      </c>
      <c r="K121" s="65"/>
      <c r="L121" s="65"/>
      <c r="M121" s="65"/>
      <c r="N121" s="65"/>
      <c r="O121" s="65"/>
      <c r="P121" s="65"/>
      <c r="Q121" s="65">
        <f>10600+1361</f>
        <v>11961</v>
      </c>
      <c r="R121" s="65">
        <f>21676-776</f>
        <v>20900</v>
      </c>
    </row>
    <row r="122" spans="1:18" s="66" customFormat="1" ht="12">
      <c r="A122" s="8">
        <v>114</v>
      </c>
      <c r="B122" s="7" t="s">
        <v>133</v>
      </c>
      <c r="C122" s="65">
        <f t="shared" si="3"/>
        <v>26257</v>
      </c>
      <c r="D122" s="65"/>
      <c r="E122" s="65">
        <f t="shared" si="4"/>
        <v>4933</v>
      </c>
      <c r="F122" s="65">
        <v>4500</v>
      </c>
      <c r="G122" s="65">
        <v>433</v>
      </c>
      <c r="H122" s="65">
        <v>1367</v>
      </c>
      <c r="I122" s="65"/>
      <c r="J122" s="65">
        <v>2050</v>
      </c>
      <c r="K122" s="65"/>
      <c r="L122" s="65"/>
      <c r="M122" s="65"/>
      <c r="N122" s="65"/>
      <c r="O122" s="65"/>
      <c r="P122" s="65"/>
      <c r="Q122" s="65">
        <f>7085+748</f>
        <v>7833</v>
      </c>
      <c r="R122" s="65">
        <f>10507-433</f>
        <v>10074</v>
      </c>
    </row>
    <row r="123" spans="1:18" s="66" customFormat="1" ht="12">
      <c r="A123" s="8">
        <v>115</v>
      </c>
      <c r="B123" s="7" t="s">
        <v>134</v>
      </c>
      <c r="C123" s="65">
        <f t="shared" si="3"/>
        <v>27214</v>
      </c>
      <c r="D123" s="65">
        <v>16875</v>
      </c>
      <c r="E123" s="65">
        <f t="shared" si="4"/>
        <v>1704</v>
      </c>
      <c r="F123" s="65">
        <v>1530</v>
      </c>
      <c r="G123" s="65">
        <v>174</v>
      </c>
      <c r="H123" s="65">
        <v>346</v>
      </c>
      <c r="I123" s="65"/>
      <c r="J123" s="65">
        <v>1020</v>
      </c>
      <c r="K123" s="65"/>
      <c r="L123" s="65">
        <f t="shared" si="5"/>
        <v>1464</v>
      </c>
      <c r="M123" s="65">
        <v>882</v>
      </c>
      <c r="N123" s="65">
        <v>582</v>
      </c>
      <c r="O123" s="65"/>
      <c r="P123" s="65"/>
      <c r="Q123" s="65">
        <v>322</v>
      </c>
      <c r="R123" s="65">
        <f>5657-174</f>
        <v>5483</v>
      </c>
    </row>
    <row r="124" spans="1:18" s="66" customFormat="1" ht="12">
      <c r="A124" s="8">
        <v>116</v>
      </c>
      <c r="B124" s="7" t="s">
        <v>135</v>
      </c>
      <c r="C124" s="65">
        <f t="shared" si="3"/>
        <v>22337</v>
      </c>
      <c r="D124" s="65"/>
      <c r="E124" s="65">
        <f t="shared" si="4"/>
        <v>4590</v>
      </c>
      <c r="F124" s="65">
        <v>4200</v>
      </c>
      <c r="G124" s="65">
        <v>390</v>
      </c>
      <c r="H124" s="65">
        <v>934</v>
      </c>
      <c r="I124" s="65"/>
      <c r="J124" s="65">
        <v>1876</v>
      </c>
      <c r="K124" s="65"/>
      <c r="L124" s="65"/>
      <c r="M124" s="65"/>
      <c r="N124" s="65"/>
      <c r="O124" s="65"/>
      <c r="P124" s="65"/>
      <c r="Q124" s="65">
        <f>6202+641</f>
        <v>6843</v>
      </c>
      <c r="R124" s="65">
        <f>8484-390</f>
        <v>8094</v>
      </c>
    </row>
    <row r="125" spans="1:18" s="66" customFormat="1" ht="12">
      <c r="A125" s="8">
        <v>117</v>
      </c>
      <c r="B125" s="7" t="s">
        <v>136</v>
      </c>
      <c r="C125" s="65">
        <f t="shared" si="3"/>
        <v>145764</v>
      </c>
      <c r="D125" s="65"/>
      <c r="E125" s="65">
        <f t="shared" si="4"/>
        <v>28393</v>
      </c>
      <c r="F125" s="65">
        <v>25995</v>
      </c>
      <c r="G125" s="65">
        <v>2398</v>
      </c>
      <c r="H125" s="65">
        <v>6791</v>
      </c>
      <c r="I125" s="65"/>
      <c r="J125" s="65">
        <v>12000</v>
      </c>
      <c r="K125" s="65"/>
      <c r="L125" s="65">
        <f t="shared" si="5"/>
        <v>4148</v>
      </c>
      <c r="M125" s="65">
        <f>2428+732</f>
        <v>3160</v>
      </c>
      <c r="N125" s="65">
        <f>500+488</f>
        <v>988</v>
      </c>
      <c r="O125" s="65"/>
      <c r="P125" s="65"/>
      <c r="Q125" s="65">
        <f>40508+4111</f>
        <v>44619</v>
      </c>
      <c r="R125" s="65">
        <f>52211-2398</f>
        <v>49813</v>
      </c>
    </row>
    <row r="126" spans="1:18" s="66" customFormat="1" ht="12">
      <c r="A126" s="8">
        <v>118</v>
      </c>
      <c r="B126" s="7" t="s">
        <v>137</v>
      </c>
      <c r="C126" s="65">
        <f t="shared" si="3"/>
        <v>157481</v>
      </c>
      <c r="D126" s="65">
        <v>9275</v>
      </c>
      <c r="E126" s="65"/>
      <c r="F126" s="65"/>
      <c r="G126" s="65"/>
      <c r="H126" s="65"/>
      <c r="I126" s="65">
        <v>4998</v>
      </c>
      <c r="J126" s="65"/>
      <c r="K126" s="65">
        <v>134371</v>
      </c>
      <c r="L126" s="65"/>
      <c r="M126" s="65"/>
      <c r="N126" s="65"/>
      <c r="O126" s="65"/>
      <c r="P126" s="65"/>
      <c r="Q126" s="65">
        <f>3000+1131</f>
        <v>4131</v>
      </c>
      <c r="R126" s="65">
        <v>4706</v>
      </c>
    </row>
    <row r="127" spans="1:18" s="66" customFormat="1" ht="12">
      <c r="A127" s="8">
        <v>119</v>
      </c>
      <c r="B127" s="7" t="s">
        <v>138</v>
      </c>
      <c r="C127" s="65">
        <f t="shared" si="3"/>
        <v>73588</v>
      </c>
      <c r="D127" s="65">
        <v>18099</v>
      </c>
      <c r="E127" s="65">
        <f t="shared" si="4"/>
        <v>8904</v>
      </c>
      <c r="F127" s="65">
        <f>7230+1000</f>
        <v>8230</v>
      </c>
      <c r="G127" s="65">
        <v>674</v>
      </c>
      <c r="H127" s="65">
        <v>1388</v>
      </c>
      <c r="I127" s="65"/>
      <c r="J127" s="65">
        <v>3360</v>
      </c>
      <c r="K127" s="65"/>
      <c r="L127" s="65"/>
      <c r="M127" s="65"/>
      <c r="N127" s="65"/>
      <c r="O127" s="65"/>
      <c r="P127" s="65"/>
      <c r="Q127" s="65">
        <f>12262+1547</f>
        <v>13809</v>
      </c>
      <c r="R127" s="65">
        <f>28702-674</f>
        <v>28028</v>
      </c>
    </row>
    <row r="128" spans="1:18" s="66" customFormat="1" ht="12">
      <c r="A128" s="8">
        <v>120</v>
      </c>
      <c r="B128" s="7" t="s">
        <v>139</v>
      </c>
      <c r="C128" s="65">
        <f t="shared" si="3"/>
        <v>36640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>
        <v>36640</v>
      </c>
      <c r="Q128" s="65"/>
      <c r="R128" s="65"/>
    </row>
    <row r="129" spans="1:18" s="66" customFormat="1" ht="12">
      <c r="A129" s="8">
        <v>121</v>
      </c>
      <c r="B129" s="7" t="s">
        <v>140</v>
      </c>
      <c r="C129" s="65">
        <f t="shared" si="3"/>
        <v>99838</v>
      </c>
      <c r="D129" s="65"/>
      <c r="E129" s="65">
        <f t="shared" si="4"/>
        <v>7545</v>
      </c>
      <c r="F129" s="65">
        <v>6800</v>
      </c>
      <c r="G129" s="65">
        <v>745</v>
      </c>
      <c r="H129" s="65">
        <v>1421</v>
      </c>
      <c r="I129" s="65">
        <v>1595</v>
      </c>
      <c r="J129" s="65">
        <v>3600</v>
      </c>
      <c r="K129" s="65">
        <v>46730</v>
      </c>
      <c r="L129" s="65"/>
      <c r="M129" s="65"/>
      <c r="N129" s="65"/>
      <c r="O129" s="65"/>
      <c r="P129" s="65"/>
      <c r="Q129" s="65">
        <f>13304+1769</f>
        <v>15073</v>
      </c>
      <c r="R129" s="65">
        <f>24619-745</f>
        <v>23874</v>
      </c>
    </row>
    <row r="130" spans="1:18" s="66" customFormat="1" ht="12">
      <c r="A130" s="8">
        <v>122</v>
      </c>
      <c r="B130" s="7" t="s">
        <v>141</v>
      </c>
      <c r="C130" s="65">
        <f t="shared" si="3"/>
        <v>39651</v>
      </c>
      <c r="D130" s="65"/>
      <c r="E130" s="65">
        <f t="shared" si="4"/>
        <v>3924</v>
      </c>
      <c r="F130" s="65">
        <v>3629</v>
      </c>
      <c r="G130" s="65">
        <v>295</v>
      </c>
      <c r="H130" s="65">
        <v>910</v>
      </c>
      <c r="I130" s="65">
        <v>861</v>
      </c>
      <c r="J130" s="65">
        <v>1298</v>
      </c>
      <c r="K130" s="65">
        <v>12050</v>
      </c>
      <c r="L130" s="65"/>
      <c r="M130" s="65"/>
      <c r="N130" s="65"/>
      <c r="O130" s="65"/>
      <c r="P130" s="65"/>
      <c r="Q130" s="65">
        <f>4823+699</f>
        <v>5522</v>
      </c>
      <c r="R130" s="65">
        <f>15381-295</f>
        <v>15086</v>
      </c>
    </row>
    <row r="131" spans="1:18" s="66" customFormat="1" ht="12">
      <c r="A131" s="8">
        <v>123</v>
      </c>
      <c r="B131" s="7" t="s">
        <v>142</v>
      </c>
      <c r="C131" s="65">
        <f t="shared" si="3"/>
        <v>58053</v>
      </c>
      <c r="D131" s="65"/>
      <c r="E131" s="65">
        <f t="shared" si="4"/>
        <v>6063</v>
      </c>
      <c r="F131" s="65">
        <v>5547</v>
      </c>
      <c r="G131" s="65">
        <v>516</v>
      </c>
      <c r="H131" s="65">
        <v>1664</v>
      </c>
      <c r="I131" s="65">
        <v>701</v>
      </c>
      <c r="J131" s="65">
        <v>2096</v>
      </c>
      <c r="K131" s="65">
        <v>20050</v>
      </c>
      <c r="L131" s="65"/>
      <c r="M131" s="65"/>
      <c r="N131" s="65"/>
      <c r="O131" s="65"/>
      <c r="P131" s="65"/>
      <c r="Q131" s="65">
        <f>10280+1025</f>
        <v>11305</v>
      </c>
      <c r="R131" s="65">
        <f>16690-516</f>
        <v>16174</v>
      </c>
    </row>
    <row r="132" spans="1:18" s="66" customFormat="1" ht="12">
      <c r="A132" s="8">
        <v>124</v>
      </c>
      <c r="B132" s="7" t="s">
        <v>143</v>
      </c>
      <c r="C132" s="65">
        <f t="shared" si="3"/>
        <v>102702</v>
      </c>
      <c r="D132" s="65"/>
      <c r="E132" s="65">
        <f t="shared" si="4"/>
        <v>9622</v>
      </c>
      <c r="F132" s="65">
        <v>8852</v>
      </c>
      <c r="G132" s="65">
        <v>770</v>
      </c>
      <c r="H132" s="65">
        <v>2213</v>
      </c>
      <c r="I132" s="65">
        <v>941</v>
      </c>
      <c r="J132" s="65">
        <v>3216</v>
      </c>
      <c r="K132" s="65">
        <v>53390</v>
      </c>
      <c r="L132" s="65"/>
      <c r="M132" s="65"/>
      <c r="N132" s="65"/>
      <c r="O132" s="65"/>
      <c r="P132" s="65"/>
      <c r="Q132" s="65">
        <f>6963+1812</f>
        <v>8775</v>
      </c>
      <c r="R132" s="65">
        <f>25315-770</f>
        <v>24545</v>
      </c>
    </row>
    <row r="133" spans="1:18" s="66" customFormat="1" ht="12">
      <c r="A133" s="8">
        <v>125</v>
      </c>
      <c r="B133" s="7" t="s">
        <v>144</v>
      </c>
      <c r="C133" s="65">
        <f t="shared" si="3"/>
        <v>97557</v>
      </c>
      <c r="D133" s="65"/>
      <c r="E133" s="65">
        <f t="shared" si="4"/>
        <v>8293</v>
      </c>
      <c r="F133" s="65">
        <v>7560</v>
      </c>
      <c r="G133" s="65">
        <v>733</v>
      </c>
      <c r="H133" s="65">
        <v>2233</v>
      </c>
      <c r="I133" s="65">
        <v>440</v>
      </c>
      <c r="J133" s="65">
        <v>3383</v>
      </c>
      <c r="K133" s="65">
        <v>24628</v>
      </c>
      <c r="L133" s="65"/>
      <c r="M133" s="65"/>
      <c r="N133" s="65"/>
      <c r="O133" s="65"/>
      <c r="P133" s="65"/>
      <c r="Q133" s="65">
        <f>19565+1721</f>
        <v>21286</v>
      </c>
      <c r="R133" s="65">
        <f>38027-733</f>
        <v>37294</v>
      </c>
    </row>
    <row r="134" spans="1:18" s="66" customFormat="1" ht="12">
      <c r="A134" s="8">
        <v>126</v>
      </c>
      <c r="B134" s="7" t="s">
        <v>145</v>
      </c>
      <c r="C134" s="65">
        <f t="shared" si="3"/>
        <v>57246</v>
      </c>
      <c r="D134" s="65"/>
      <c r="E134" s="65">
        <f t="shared" si="4"/>
        <v>5778</v>
      </c>
      <c r="F134" s="65">
        <v>5340</v>
      </c>
      <c r="G134" s="65">
        <v>438</v>
      </c>
      <c r="H134" s="65">
        <v>1391</v>
      </c>
      <c r="I134" s="65">
        <v>673</v>
      </c>
      <c r="J134" s="65">
        <v>1800</v>
      </c>
      <c r="K134" s="65">
        <v>22635</v>
      </c>
      <c r="L134" s="65"/>
      <c r="M134" s="65"/>
      <c r="N134" s="65"/>
      <c r="O134" s="65"/>
      <c r="P134" s="65"/>
      <c r="Q134" s="65">
        <f>6669+1012</f>
        <v>7681</v>
      </c>
      <c r="R134" s="65">
        <f>17726-438</f>
        <v>17288</v>
      </c>
    </row>
    <row r="135" spans="1:18" s="66" customFormat="1" ht="12">
      <c r="A135" s="8">
        <v>127</v>
      </c>
      <c r="B135" s="7" t="s">
        <v>146</v>
      </c>
      <c r="C135" s="65">
        <f t="shared" si="3"/>
        <v>43313</v>
      </c>
      <c r="D135" s="65"/>
      <c r="E135" s="65">
        <f t="shared" si="4"/>
        <v>4258</v>
      </c>
      <c r="F135" s="65">
        <v>3946</v>
      </c>
      <c r="G135" s="65">
        <v>312</v>
      </c>
      <c r="H135" s="65">
        <v>1184</v>
      </c>
      <c r="I135" s="65">
        <v>1016</v>
      </c>
      <c r="J135" s="65">
        <v>1439</v>
      </c>
      <c r="K135" s="65">
        <v>18530</v>
      </c>
      <c r="L135" s="65"/>
      <c r="M135" s="65"/>
      <c r="N135" s="65"/>
      <c r="O135" s="65"/>
      <c r="P135" s="65"/>
      <c r="Q135" s="65">
        <f>9981+764</f>
        <v>10745</v>
      </c>
      <c r="R135" s="65">
        <f>6453-312</f>
        <v>6141</v>
      </c>
    </row>
    <row r="136" spans="1:18" s="66" customFormat="1" ht="12">
      <c r="A136" s="8">
        <v>128</v>
      </c>
      <c r="B136" s="7" t="s">
        <v>147</v>
      </c>
      <c r="C136" s="65">
        <f t="shared" si="3"/>
        <v>61588</v>
      </c>
      <c r="D136" s="65"/>
      <c r="E136" s="65">
        <f t="shared" si="4"/>
        <v>6293</v>
      </c>
      <c r="F136" s="65">
        <v>5792</v>
      </c>
      <c r="G136" s="65">
        <v>501</v>
      </c>
      <c r="H136" s="65">
        <v>1621</v>
      </c>
      <c r="I136" s="65">
        <v>771</v>
      </c>
      <c r="J136" s="65">
        <v>2155</v>
      </c>
      <c r="K136" s="65">
        <v>25736</v>
      </c>
      <c r="L136" s="65"/>
      <c r="M136" s="65"/>
      <c r="N136" s="65"/>
      <c r="O136" s="65"/>
      <c r="P136" s="65"/>
      <c r="Q136" s="65">
        <f>7759+1087</f>
        <v>8846</v>
      </c>
      <c r="R136" s="65">
        <f>16667-501</f>
        <v>16166</v>
      </c>
    </row>
    <row r="137" spans="1:18" s="66" customFormat="1" ht="12">
      <c r="A137" s="8">
        <v>129</v>
      </c>
      <c r="B137" s="7" t="s">
        <v>148</v>
      </c>
      <c r="C137" s="65">
        <f t="shared" si="3"/>
        <v>104804</v>
      </c>
      <c r="D137" s="65"/>
      <c r="E137" s="65">
        <f t="shared" si="4"/>
        <v>10290</v>
      </c>
      <c r="F137" s="65">
        <v>9475</v>
      </c>
      <c r="G137" s="65">
        <v>815</v>
      </c>
      <c r="H137" s="65">
        <v>2370</v>
      </c>
      <c r="I137" s="65">
        <v>671</v>
      </c>
      <c r="J137" s="65">
        <v>3670</v>
      </c>
      <c r="K137" s="65">
        <v>42384</v>
      </c>
      <c r="L137" s="65"/>
      <c r="M137" s="65"/>
      <c r="N137" s="65"/>
      <c r="O137" s="65"/>
      <c r="P137" s="65"/>
      <c r="Q137" s="65">
        <f>17916+1851</f>
        <v>19767</v>
      </c>
      <c r="R137" s="65">
        <f>26467-815</f>
        <v>25652</v>
      </c>
    </row>
    <row r="138" spans="1:18" s="66" customFormat="1" ht="12">
      <c r="A138" s="8">
        <v>130</v>
      </c>
      <c r="B138" s="7" t="s">
        <v>149</v>
      </c>
      <c r="C138" s="65">
        <f t="shared" ref="C138:C167" si="6">D138+E138+H138+I138+J138+K138+L138+O138+P138+Q138+R138</f>
        <v>49399</v>
      </c>
      <c r="D138" s="65"/>
      <c r="E138" s="65">
        <f t="shared" ref="E138:E166" si="7">F138+G138</f>
        <v>4875</v>
      </c>
      <c r="F138" s="65">
        <v>4500</v>
      </c>
      <c r="G138" s="65">
        <v>375</v>
      </c>
      <c r="H138" s="65">
        <v>1125</v>
      </c>
      <c r="I138" s="65">
        <v>925</v>
      </c>
      <c r="J138" s="65">
        <v>1709</v>
      </c>
      <c r="K138" s="65">
        <v>18347</v>
      </c>
      <c r="L138" s="65"/>
      <c r="M138" s="65"/>
      <c r="N138" s="65"/>
      <c r="O138" s="65"/>
      <c r="P138" s="65"/>
      <c r="Q138" s="65">
        <f>5977+872</f>
        <v>6849</v>
      </c>
      <c r="R138" s="65">
        <f>15944-375</f>
        <v>15569</v>
      </c>
    </row>
    <row r="139" spans="1:18" s="66" customFormat="1" ht="12" customHeight="1">
      <c r="A139" s="8">
        <v>131</v>
      </c>
      <c r="B139" s="9" t="s">
        <v>150</v>
      </c>
      <c r="C139" s="65">
        <f t="shared" si="6"/>
        <v>200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>
        <v>200</v>
      </c>
      <c r="Q139" s="65"/>
      <c r="R139" s="65"/>
    </row>
    <row r="140" spans="1:18" s="66" customFormat="1" ht="36">
      <c r="A140" s="8">
        <v>132</v>
      </c>
      <c r="B140" s="9" t="s">
        <v>151</v>
      </c>
      <c r="C140" s="65">
        <f t="shared" si="6"/>
        <v>29039</v>
      </c>
      <c r="D140" s="65"/>
      <c r="E140" s="65">
        <f t="shared" si="7"/>
        <v>4143</v>
      </c>
      <c r="F140" s="65">
        <f>7024-3275</f>
        <v>3749</v>
      </c>
      <c r="G140" s="65">
        <v>394</v>
      </c>
      <c r="H140" s="65">
        <v>2077</v>
      </c>
      <c r="I140" s="65"/>
      <c r="J140" s="65">
        <v>1200</v>
      </c>
      <c r="K140" s="65"/>
      <c r="L140" s="65">
        <f t="shared" si="5"/>
        <v>3172</v>
      </c>
      <c r="M140" s="65">
        <f>2635-732</f>
        <v>1903</v>
      </c>
      <c r="N140" s="65">
        <f>1757-488</f>
        <v>1269</v>
      </c>
      <c r="O140" s="65"/>
      <c r="P140" s="65"/>
      <c r="Q140" s="65">
        <f>3159</f>
        <v>3159</v>
      </c>
      <c r="R140" s="65">
        <f>15682-394</f>
        <v>15288</v>
      </c>
    </row>
    <row r="141" spans="1:18" s="34" customFormat="1" ht="12">
      <c r="A141" s="35">
        <v>133</v>
      </c>
      <c r="B141" s="32" t="s">
        <v>152</v>
      </c>
      <c r="C141" s="33">
        <f t="shared" si="6"/>
        <v>14666</v>
      </c>
      <c r="D141" s="33"/>
      <c r="E141" s="33">
        <f t="shared" si="7"/>
        <v>1147</v>
      </c>
      <c r="F141" s="33">
        <v>1130</v>
      </c>
      <c r="G141" s="33">
        <v>17</v>
      </c>
      <c r="H141" s="33"/>
      <c r="I141" s="33"/>
      <c r="J141" s="33">
        <v>50</v>
      </c>
      <c r="K141" s="33"/>
      <c r="L141" s="33"/>
      <c r="M141" s="33"/>
      <c r="N141" s="33"/>
      <c r="O141" s="33">
        <v>5787</v>
      </c>
      <c r="P141" s="33"/>
      <c r="Q141" s="33">
        <f>446</f>
        <v>446</v>
      </c>
      <c r="R141" s="33">
        <f>7253-17</f>
        <v>7236</v>
      </c>
    </row>
    <row r="142" spans="1:18" s="34" customFormat="1" ht="24">
      <c r="A142" s="35">
        <v>134</v>
      </c>
      <c r="B142" s="36" t="s">
        <v>153</v>
      </c>
      <c r="C142" s="33">
        <f t="shared" si="6"/>
        <v>3000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>
        <v>3000</v>
      </c>
      <c r="Q142" s="33"/>
      <c r="R142" s="33"/>
    </row>
    <row r="143" spans="1:18" s="34" customFormat="1" ht="12">
      <c r="A143" s="35">
        <v>135</v>
      </c>
      <c r="B143" s="32" t="s">
        <v>154</v>
      </c>
      <c r="C143" s="33">
        <f t="shared" si="6"/>
        <v>6252</v>
      </c>
      <c r="D143" s="33"/>
      <c r="E143" s="33">
        <f t="shared" si="7"/>
        <v>1756</v>
      </c>
      <c r="F143" s="33">
        <v>1600</v>
      </c>
      <c r="G143" s="33">
        <v>156</v>
      </c>
      <c r="H143" s="33"/>
      <c r="I143" s="33"/>
      <c r="J143" s="33">
        <v>1000</v>
      </c>
      <c r="K143" s="33"/>
      <c r="L143" s="33"/>
      <c r="M143" s="33"/>
      <c r="N143" s="33"/>
      <c r="O143" s="33"/>
      <c r="P143" s="33"/>
      <c r="Q143" s="33">
        <f>800</f>
        <v>800</v>
      </c>
      <c r="R143" s="33">
        <f>2852-156</f>
        <v>2696</v>
      </c>
    </row>
    <row r="144" spans="1:18" s="34" customFormat="1" ht="12.75" customHeight="1">
      <c r="A144" s="35">
        <v>136</v>
      </c>
      <c r="B144" s="36" t="s">
        <v>155</v>
      </c>
      <c r="C144" s="33">
        <f t="shared" si="6"/>
        <v>8000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>
        <v>8000</v>
      </c>
      <c r="Q144" s="33"/>
      <c r="R144" s="33"/>
    </row>
    <row r="145" spans="1:18" s="34" customFormat="1" ht="12">
      <c r="A145" s="35">
        <v>137</v>
      </c>
      <c r="B145" s="32" t="s">
        <v>157</v>
      </c>
      <c r="C145" s="33">
        <f t="shared" si="6"/>
        <v>200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>
        <v>200</v>
      </c>
      <c r="Q145" s="33"/>
      <c r="R145" s="33"/>
    </row>
    <row r="146" spans="1:18" s="34" customFormat="1" ht="12">
      <c r="A146" s="35">
        <v>138</v>
      </c>
      <c r="B146" s="32" t="s">
        <v>158</v>
      </c>
      <c r="C146" s="33">
        <f t="shared" si="6"/>
        <v>200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>
        <v>200</v>
      </c>
      <c r="Q146" s="33"/>
      <c r="R146" s="33"/>
    </row>
    <row r="147" spans="1:18" s="34" customFormat="1" ht="12">
      <c r="A147" s="35">
        <v>139</v>
      </c>
      <c r="B147" s="32" t="s">
        <v>162</v>
      </c>
      <c r="C147" s="33">
        <f t="shared" si="6"/>
        <v>200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>
        <v>200</v>
      </c>
      <c r="Q147" s="33"/>
      <c r="R147" s="33"/>
    </row>
    <row r="148" spans="1:18" s="34" customFormat="1" ht="12">
      <c r="A148" s="35">
        <v>140</v>
      </c>
      <c r="B148" s="32" t="s">
        <v>165</v>
      </c>
      <c r="C148" s="33">
        <f t="shared" si="6"/>
        <v>200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>
        <v>200</v>
      </c>
      <c r="Q148" s="33"/>
      <c r="R148" s="33"/>
    </row>
    <row r="149" spans="1:18" s="34" customFormat="1" ht="12">
      <c r="A149" s="35">
        <v>141</v>
      </c>
      <c r="B149" s="32" t="s">
        <v>166</v>
      </c>
      <c r="C149" s="33">
        <f t="shared" si="6"/>
        <v>0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>
        <f>200-200</f>
        <v>0</v>
      </c>
      <c r="Q149" s="33"/>
      <c r="R149" s="33"/>
    </row>
    <row r="150" spans="1:18" s="34" customFormat="1" ht="12">
      <c r="A150" s="35">
        <v>142</v>
      </c>
      <c r="B150" s="37" t="s">
        <v>168</v>
      </c>
      <c r="C150" s="33">
        <f t="shared" si="6"/>
        <v>400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>
        <v>400</v>
      </c>
      <c r="Q150" s="33"/>
      <c r="R150" s="33"/>
    </row>
    <row r="151" spans="1:18" s="34" customFormat="1" ht="12">
      <c r="A151" s="35">
        <v>143</v>
      </c>
      <c r="B151" s="32" t="s">
        <v>170</v>
      </c>
      <c r="C151" s="33">
        <f t="shared" si="6"/>
        <v>120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>
        <v>120</v>
      </c>
      <c r="Q151" s="33"/>
      <c r="R151" s="33"/>
    </row>
    <row r="152" spans="1:18" s="34" customFormat="1" ht="12">
      <c r="A152" s="35">
        <v>144</v>
      </c>
      <c r="B152" s="32" t="s">
        <v>171</v>
      </c>
      <c r="C152" s="33">
        <f t="shared" si="6"/>
        <v>200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>
        <v>200</v>
      </c>
      <c r="Q152" s="33"/>
      <c r="R152" s="33"/>
    </row>
    <row r="153" spans="1:18" s="34" customFormat="1" ht="12">
      <c r="A153" s="35">
        <v>145</v>
      </c>
      <c r="B153" s="32" t="s">
        <v>172</v>
      </c>
      <c r="C153" s="33">
        <f t="shared" si="6"/>
        <v>224680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>
        <f>220000+680+4000</f>
        <v>224680</v>
      </c>
      <c r="P153" s="33"/>
      <c r="Q153" s="33"/>
      <c r="R153" s="33"/>
    </row>
    <row r="154" spans="1:18" s="34" customFormat="1" ht="12">
      <c r="A154" s="35">
        <v>146</v>
      </c>
      <c r="B154" s="32" t="s">
        <v>212</v>
      </c>
      <c r="C154" s="33">
        <f t="shared" si="6"/>
        <v>119000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>
        <v>119000</v>
      </c>
      <c r="P154" s="33"/>
      <c r="Q154" s="33"/>
      <c r="R154" s="33"/>
    </row>
    <row r="155" spans="1:18" s="34" customFormat="1" ht="12">
      <c r="A155" s="35">
        <v>147</v>
      </c>
      <c r="B155" s="32" t="s">
        <v>213</v>
      </c>
      <c r="C155" s="33">
        <f t="shared" si="6"/>
        <v>77000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>
        <f>73000+4000</f>
        <v>77000</v>
      </c>
      <c r="P155" s="33"/>
      <c r="Q155" s="33"/>
      <c r="R155" s="33"/>
    </row>
    <row r="156" spans="1:18" s="34" customFormat="1" ht="12">
      <c r="A156" s="35">
        <v>148</v>
      </c>
      <c r="B156" s="32" t="s">
        <v>173</v>
      </c>
      <c r="C156" s="33">
        <f t="shared" si="6"/>
        <v>2000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>
        <v>2000</v>
      </c>
      <c r="P156" s="33"/>
      <c r="Q156" s="33"/>
      <c r="R156" s="33"/>
    </row>
    <row r="157" spans="1:18" s="34" customFormat="1" ht="12">
      <c r="A157" s="35">
        <v>149</v>
      </c>
      <c r="B157" s="32" t="s">
        <v>174</v>
      </c>
      <c r="C157" s="33">
        <f t="shared" si="6"/>
        <v>6500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>
        <v>6500</v>
      </c>
      <c r="P157" s="33"/>
      <c r="Q157" s="33"/>
      <c r="R157" s="33"/>
    </row>
    <row r="158" spans="1:18" s="34" customFormat="1" ht="12">
      <c r="A158" s="35">
        <v>150</v>
      </c>
      <c r="B158" s="32" t="s">
        <v>175</v>
      </c>
      <c r="C158" s="33">
        <f t="shared" si="6"/>
        <v>56502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>
        <v>56502</v>
      </c>
      <c r="P158" s="33"/>
      <c r="Q158" s="33"/>
      <c r="R158" s="33"/>
    </row>
    <row r="159" spans="1:18" s="34" customFormat="1" ht="12">
      <c r="A159" s="35">
        <v>151</v>
      </c>
      <c r="B159" s="32" t="s">
        <v>176</v>
      </c>
      <c r="C159" s="33">
        <f t="shared" si="6"/>
        <v>110680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>
        <f>110000+680</f>
        <v>110680</v>
      </c>
      <c r="P159" s="33"/>
      <c r="Q159" s="33"/>
      <c r="R159" s="33"/>
    </row>
    <row r="160" spans="1:18" s="34" customFormat="1" ht="12">
      <c r="A160" s="35">
        <v>152</v>
      </c>
      <c r="B160" s="32" t="s">
        <v>177</v>
      </c>
      <c r="C160" s="33">
        <f t="shared" si="6"/>
        <v>45075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>
        <f>65500-65500</f>
        <v>0</v>
      </c>
      <c r="P160" s="33">
        <v>45075</v>
      </c>
      <c r="Q160" s="33"/>
      <c r="R160" s="33"/>
    </row>
    <row r="161" spans="1:19" s="34" customFormat="1" ht="12">
      <c r="A161" s="35">
        <v>153</v>
      </c>
      <c r="B161" s="32" t="s">
        <v>214</v>
      </c>
      <c r="C161" s="33">
        <f t="shared" si="6"/>
        <v>65500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>
        <v>65500</v>
      </c>
      <c r="P161" s="33"/>
      <c r="Q161" s="33"/>
      <c r="R161" s="33"/>
    </row>
    <row r="162" spans="1:19" s="34" customFormat="1" ht="12">
      <c r="A162" s="35">
        <v>154</v>
      </c>
      <c r="B162" s="32" t="s">
        <v>215</v>
      </c>
      <c r="C162" s="33">
        <f t="shared" si="6"/>
        <v>19781</v>
      </c>
      <c r="D162" s="33">
        <v>19781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9" s="34" customFormat="1" ht="12">
      <c r="A163" s="35">
        <v>155</v>
      </c>
      <c r="B163" s="32" t="s">
        <v>216</v>
      </c>
      <c r="C163" s="33">
        <f t="shared" si="6"/>
        <v>57392</v>
      </c>
      <c r="D163" s="33"/>
      <c r="E163" s="33"/>
      <c r="F163" s="33"/>
      <c r="G163" s="33"/>
      <c r="H163" s="33"/>
      <c r="I163" s="33"/>
      <c r="J163" s="33"/>
      <c r="K163" s="33"/>
      <c r="L163" s="33">
        <f t="shared" si="5"/>
        <v>4392</v>
      </c>
      <c r="M163" s="33">
        <v>3075</v>
      </c>
      <c r="N163" s="33">
        <v>1317</v>
      </c>
      <c r="O163" s="33">
        <v>53000</v>
      </c>
      <c r="P163" s="33"/>
      <c r="Q163" s="33"/>
      <c r="R163" s="33"/>
    </row>
    <row r="164" spans="1:19" s="34" customFormat="1" ht="12">
      <c r="A164" s="35">
        <v>156</v>
      </c>
      <c r="B164" s="32" t="s">
        <v>178</v>
      </c>
      <c r="C164" s="33">
        <f t="shared" si="6"/>
        <v>1800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>
        <v>1800</v>
      </c>
      <c r="P164" s="33"/>
      <c r="Q164" s="33"/>
      <c r="R164" s="33"/>
    </row>
    <row r="165" spans="1:19" s="66" customFormat="1" ht="12">
      <c r="A165" s="8">
        <v>157</v>
      </c>
      <c r="B165" s="7" t="s">
        <v>179</v>
      </c>
      <c r="C165" s="65">
        <f t="shared" si="6"/>
        <v>56754</v>
      </c>
      <c r="D165" s="65"/>
      <c r="E165" s="65">
        <f t="shared" si="7"/>
        <v>7475</v>
      </c>
      <c r="F165" s="65">
        <f>6525+378</f>
        <v>6903</v>
      </c>
      <c r="G165" s="65">
        <v>572</v>
      </c>
      <c r="H165" s="65">
        <v>1952</v>
      </c>
      <c r="I165" s="65">
        <v>0</v>
      </c>
      <c r="J165" s="65">
        <v>4367</v>
      </c>
      <c r="K165" s="65">
        <v>0</v>
      </c>
      <c r="L165" s="65"/>
      <c r="M165" s="65"/>
      <c r="N165" s="65"/>
      <c r="O165" s="65">
        <v>1400</v>
      </c>
      <c r="P165" s="65"/>
      <c r="Q165" s="65">
        <f>22965+1060</f>
        <v>24025</v>
      </c>
      <c r="R165" s="65">
        <f>18107-572</f>
        <v>17535</v>
      </c>
    </row>
    <row r="166" spans="1:19" s="69" customFormat="1" ht="24" customHeight="1">
      <c r="A166" s="8">
        <v>158</v>
      </c>
      <c r="B166" s="67" t="s">
        <v>217</v>
      </c>
      <c r="C166" s="65">
        <f t="shared" si="6"/>
        <v>131931</v>
      </c>
      <c r="D166" s="68"/>
      <c r="E166" s="65">
        <f t="shared" si="7"/>
        <v>12531</v>
      </c>
      <c r="F166" s="68">
        <f>10839+422</f>
        <v>11261</v>
      </c>
      <c r="G166" s="65">
        <v>1270</v>
      </c>
      <c r="H166" s="68">
        <v>3250</v>
      </c>
      <c r="I166" s="68">
        <v>1477</v>
      </c>
      <c r="J166" s="68">
        <v>4391</v>
      </c>
      <c r="K166" s="68">
        <v>75078</v>
      </c>
      <c r="L166" s="68"/>
      <c r="M166" s="68"/>
      <c r="N166" s="68"/>
      <c r="O166" s="68"/>
      <c r="P166" s="68"/>
      <c r="Q166" s="68">
        <f>8836+2625</f>
        <v>11461</v>
      </c>
      <c r="R166" s="68">
        <f>25013-1270</f>
        <v>23743</v>
      </c>
      <c r="S166" s="66"/>
    </row>
    <row r="167" spans="1:19" s="34" customFormat="1" ht="12">
      <c r="A167" s="35">
        <v>159</v>
      </c>
      <c r="B167" s="32" t="s">
        <v>218</v>
      </c>
      <c r="C167" s="33">
        <f t="shared" si="6"/>
        <v>3000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>
        <v>3000</v>
      </c>
      <c r="P167" s="33"/>
      <c r="Q167" s="33"/>
      <c r="R167" s="33"/>
    </row>
    <row r="168" spans="1:19" s="34" customFormat="1" ht="12">
      <c r="A168" s="37"/>
      <c r="B168" s="32" t="s">
        <v>184</v>
      </c>
      <c r="C168" s="33">
        <f>326248-148149-1851</f>
        <v>176248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1:19" s="40" customFormat="1" ht="12">
      <c r="A169" s="38"/>
      <c r="B169" s="39" t="s">
        <v>185</v>
      </c>
      <c r="C169" s="38">
        <f t="shared" ref="C169:R169" si="8">SUM(C9:C167)+C168</f>
        <v>9540535</v>
      </c>
      <c r="D169" s="38">
        <f t="shared" si="8"/>
        <v>405980</v>
      </c>
      <c r="E169" s="38">
        <f t="shared" si="8"/>
        <v>787030</v>
      </c>
      <c r="F169" s="38">
        <f t="shared" si="8"/>
        <v>722336</v>
      </c>
      <c r="G169" s="38">
        <f t="shared" si="8"/>
        <v>64694</v>
      </c>
      <c r="H169" s="38">
        <f t="shared" si="8"/>
        <v>201742</v>
      </c>
      <c r="I169" s="38">
        <f t="shared" si="8"/>
        <v>109014</v>
      </c>
      <c r="J169" s="38">
        <f t="shared" si="8"/>
        <v>316828</v>
      </c>
      <c r="K169" s="38">
        <f t="shared" si="8"/>
        <v>3621643</v>
      </c>
      <c r="L169" s="38">
        <f t="shared" si="8"/>
        <v>48312</v>
      </c>
      <c r="M169" s="38">
        <f t="shared" si="8"/>
        <v>32668</v>
      </c>
      <c r="N169" s="38">
        <f t="shared" si="8"/>
        <v>15644</v>
      </c>
      <c r="O169" s="38">
        <f t="shared" si="8"/>
        <v>728249</v>
      </c>
      <c r="P169" s="38">
        <f t="shared" si="8"/>
        <v>241806</v>
      </c>
      <c r="Q169" s="38">
        <f t="shared" si="8"/>
        <v>1158395</v>
      </c>
      <c r="R169" s="38">
        <f t="shared" si="8"/>
        <v>1745288</v>
      </c>
      <c r="S169" s="34"/>
    </row>
    <row r="170" spans="1:19" hidden="1">
      <c r="B170" s="41" t="s">
        <v>219</v>
      </c>
      <c r="C170" s="42">
        <v>9540535</v>
      </c>
      <c r="D170" s="42">
        <v>405980</v>
      </c>
      <c r="E170" s="42">
        <v>787030</v>
      </c>
      <c r="F170" s="42">
        <v>722336</v>
      </c>
      <c r="G170" s="42">
        <v>64694</v>
      </c>
      <c r="H170" s="42">
        <v>201742</v>
      </c>
      <c r="I170" s="42">
        <v>109014</v>
      </c>
      <c r="J170" s="42">
        <v>316828</v>
      </c>
      <c r="K170" s="42">
        <v>3621643</v>
      </c>
      <c r="L170" s="42">
        <v>48312</v>
      </c>
      <c r="M170" s="42">
        <v>32668</v>
      </c>
      <c r="N170" s="42">
        <v>15644</v>
      </c>
      <c r="O170" s="42">
        <v>728249</v>
      </c>
      <c r="P170" s="42">
        <v>241806</v>
      </c>
      <c r="Q170" s="42">
        <v>1158395</v>
      </c>
      <c r="R170" s="42">
        <v>1745288</v>
      </c>
    </row>
    <row r="171" spans="1:19" hidden="1">
      <c r="B171" s="28" t="s">
        <v>187</v>
      </c>
      <c r="C171" s="43">
        <f>C169-C170</f>
        <v>0</v>
      </c>
      <c r="D171" s="43">
        <f t="shared" ref="D171:R171" si="9">D169-D170</f>
        <v>0</v>
      </c>
      <c r="E171" s="43">
        <f t="shared" si="9"/>
        <v>0</v>
      </c>
      <c r="F171" s="43">
        <f t="shared" si="9"/>
        <v>0</v>
      </c>
      <c r="G171" s="43">
        <f t="shared" si="9"/>
        <v>0</v>
      </c>
      <c r="H171" s="43">
        <f t="shared" si="9"/>
        <v>0</v>
      </c>
      <c r="I171" s="43">
        <f t="shared" si="9"/>
        <v>0</v>
      </c>
      <c r="J171" s="43">
        <f t="shared" si="9"/>
        <v>0</v>
      </c>
      <c r="K171" s="43">
        <f t="shared" si="9"/>
        <v>0</v>
      </c>
      <c r="L171" s="43">
        <f t="shared" si="9"/>
        <v>0</v>
      </c>
      <c r="M171" s="43">
        <f t="shared" si="9"/>
        <v>0</v>
      </c>
      <c r="N171" s="43">
        <f t="shared" si="9"/>
        <v>0</v>
      </c>
      <c r="O171" s="43">
        <f t="shared" si="9"/>
        <v>0</v>
      </c>
      <c r="P171" s="43">
        <f t="shared" si="9"/>
        <v>0</v>
      </c>
      <c r="Q171" s="43">
        <f t="shared" si="9"/>
        <v>0</v>
      </c>
      <c r="R171" s="43">
        <f t="shared" si="9"/>
        <v>0</v>
      </c>
    </row>
    <row r="173" spans="1:19">
      <c r="E173" s="43"/>
    </row>
    <row r="174" spans="1:19"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1:19">
      <c r="O175" s="43"/>
      <c r="R175" s="43"/>
    </row>
    <row r="176" spans="1:19">
      <c r="C176" s="43"/>
    </row>
    <row r="177" spans="15:16">
      <c r="O177" s="43"/>
      <c r="P177" s="43"/>
    </row>
    <row r="179" spans="15:16">
      <c r="O179" s="43"/>
    </row>
  </sheetData>
  <mergeCells count="23">
    <mergeCell ref="P4:P7"/>
    <mergeCell ref="Q4:R4"/>
    <mergeCell ref="E5:G5"/>
    <mergeCell ref="H5:H7"/>
    <mergeCell ref="M5:M7"/>
    <mergeCell ref="N5:N7"/>
    <mergeCell ref="Q5:Q7"/>
    <mergeCell ref="A1:R1"/>
    <mergeCell ref="A3:A7"/>
    <mergeCell ref="B3:B7"/>
    <mergeCell ref="C3:C7"/>
    <mergeCell ref="D3:R3"/>
    <mergeCell ref="D4:D7"/>
    <mergeCell ref="E4:H4"/>
    <mergeCell ref="I4:I7"/>
    <mergeCell ref="J4:J7"/>
    <mergeCell ref="K4:K7"/>
    <mergeCell ref="R5:R7"/>
    <mergeCell ref="E6:E7"/>
    <mergeCell ref="F6:G6"/>
    <mergeCell ref="L4:L7"/>
    <mergeCell ref="M4:N4"/>
    <mergeCell ref="O4:O7"/>
  </mergeCells>
  <pageMargins left="0" right="0" top="0.59055118110236227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zoomScale="90" zoomScaleNormal="90" zoomScaleSheetLayoutView="70" workbookViewId="0">
      <pane xSplit="1" ySplit="2" topLeftCell="B63" activePane="bottomRight" state="frozen"/>
      <selection pane="topRight" activeCell="E1" sqref="E1"/>
      <selection pane="bottomLeft" activeCell="A4" sqref="A4"/>
      <selection pane="bottomRight" activeCell="J81" sqref="J81"/>
    </sheetView>
  </sheetViews>
  <sheetFormatPr defaultRowHeight="15"/>
  <cols>
    <col min="1" max="1" width="26.5703125" style="56" customWidth="1"/>
    <col min="2" max="2" width="8.85546875" style="44" customWidth="1"/>
    <col min="3" max="23" width="9.140625" style="44" customWidth="1"/>
    <col min="24" max="24" width="8.5703125" style="44" customWidth="1"/>
    <col min="25" max="16384" width="9.140625" style="44"/>
  </cols>
  <sheetData>
    <row r="1" spans="1:24" ht="42" customHeight="1">
      <c r="A1" s="95" t="s">
        <v>220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11.75" customHeight="1">
      <c r="A2" s="45" t="s">
        <v>221</v>
      </c>
      <c r="B2" s="46" t="s">
        <v>178</v>
      </c>
      <c r="C2" s="46" t="s">
        <v>222</v>
      </c>
      <c r="D2" s="46" t="s">
        <v>223</v>
      </c>
      <c r="E2" s="46" t="s">
        <v>224</v>
      </c>
      <c r="F2" s="46" t="s">
        <v>225</v>
      </c>
      <c r="G2" s="46" t="s">
        <v>226</v>
      </c>
      <c r="H2" s="46" t="s">
        <v>227</v>
      </c>
      <c r="I2" s="46" t="s">
        <v>228</v>
      </c>
      <c r="J2" s="46" t="s">
        <v>229</v>
      </c>
      <c r="K2" s="46" t="s">
        <v>230</v>
      </c>
      <c r="L2" s="46" t="s">
        <v>58</v>
      </c>
      <c r="M2" s="46" t="s">
        <v>177</v>
      </c>
      <c r="N2" s="46" t="s">
        <v>231</v>
      </c>
      <c r="O2" s="46" t="s">
        <v>232</v>
      </c>
      <c r="P2" s="46" t="s">
        <v>233</v>
      </c>
      <c r="Q2" s="46" t="s">
        <v>234</v>
      </c>
      <c r="R2" s="46" t="s">
        <v>216</v>
      </c>
      <c r="S2" s="46" t="s">
        <v>212</v>
      </c>
      <c r="T2" s="46" t="s">
        <v>213</v>
      </c>
      <c r="U2" s="46" t="s">
        <v>235</v>
      </c>
      <c r="V2" s="46" t="s">
        <v>152</v>
      </c>
      <c r="W2" s="46" t="s">
        <v>96</v>
      </c>
      <c r="X2" s="46" t="s">
        <v>185</v>
      </c>
    </row>
    <row r="3" spans="1:24">
      <c r="A3" s="47" t="s">
        <v>236</v>
      </c>
      <c r="B3" s="48">
        <f>B4+B5</f>
        <v>0</v>
      </c>
      <c r="C3" s="48">
        <f t="shared" ref="C3:X3" si="0">C4+C5</f>
        <v>0</v>
      </c>
      <c r="D3" s="48">
        <f t="shared" si="0"/>
        <v>0</v>
      </c>
      <c r="E3" s="48">
        <f t="shared" si="0"/>
        <v>0</v>
      </c>
      <c r="F3" s="48">
        <f t="shared" si="0"/>
        <v>0</v>
      </c>
      <c r="G3" s="48">
        <f t="shared" si="0"/>
        <v>0</v>
      </c>
      <c r="H3" s="48">
        <f t="shared" si="0"/>
        <v>0</v>
      </c>
      <c r="I3" s="48">
        <f t="shared" si="0"/>
        <v>0</v>
      </c>
      <c r="J3" s="48">
        <f t="shared" si="0"/>
        <v>60</v>
      </c>
      <c r="K3" s="48">
        <f t="shared" si="0"/>
        <v>0</v>
      </c>
      <c r="L3" s="48">
        <f t="shared" si="0"/>
        <v>0</v>
      </c>
      <c r="M3" s="48">
        <f t="shared" si="0"/>
        <v>0</v>
      </c>
      <c r="N3" s="48">
        <f t="shared" si="0"/>
        <v>0</v>
      </c>
      <c r="O3" s="48">
        <f t="shared" si="0"/>
        <v>20</v>
      </c>
      <c r="P3" s="48">
        <f t="shared" si="0"/>
        <v>0</v>
      </c>
      <c r="Q3" s="48">
        <f t="shared" si="0"/>
        <v>100</v>
      </c>
      <c r="R3" s="48">
        <f t="shared" si="0"/>
        <v>0</v>
      </c>
      <c r="S3" s="48">
        <f t="shared" si="0"/>
        <v>0</v>
      </c>
      <c r="T3" s="48">
        <f t="shared" si="0"/>
        <v>0</v>
      </c>
      <c r="U3" s="48">
        <f t="shared" si="0"/>
        <v>0</v>
      </c>
      <c r="V3" s="48">
        <f t="shared" si="0"/>
        <v>40</v>
      </c>
      <c r="W3" s="48">
        <f t="shared" si="0"/>
        <v>0</v>
      </c>
      <c r="X3" s="48">
        <f t="shared" si="0"/>
        <v>220</v>
      </c>
    </row>
    <row r="4" spans="1:24">
      <c r="A4" s="49">
        <v>1</v>
      </c>
      <c r="B4" s="50"/>
      <c r="C4" s="50"/>
      <c r="D4" s="51"/>
      <c r="E4" s="50"/>
      <c r="F4" s="50"/>
      <c r="G4" s="50"/>
      <c r="H4" s="50"/>
      <c r="I4" s="50"/>
      <c r="J4" s="50">
        <v>60</v>
      </c>
      <c r="K4" s="50"/>
      <c r="L4" s="50"/>
      <c r="M4" s="50"/>
      <c r="N4" s="50"/>
      <c r="O4" s="50">
        <v>15</v>
      </c>
      <c r="P4" s="50"/>
      <c r="Q4" s="50">
        <v>100</v>
      </c>
      <c r="R4" s="50"/>
      <c r="S4" s="50"/>
      <c r="T4" s="50"/>
      <c r="U4" s="50"/>
      <c r="V4" s="50">
        <v>25</v>
      </c>
      <c r="W4" s="50"/>
      <c r="X4" s="48">
        <f>B4+C4+D4+E4+F4+G4+H4+I4+J4+K4+L4+M4+N4+O4+P4+Q4+R4+S4+T4+U4+V4+W4</f>
        <v>200</v>
      </c>
    </row>
    <row r="5" spans="1:24">
      <c r="A5" s="52">
        <v>2</v>
      </c>
      <c r="B5" s="50"/>
      <c r="C5" s="50"/>
      <c r="D5" s="51"/>
      <c r="E5" s="50"/>
      <c r="F5" s="50"/>
      <c r="G5" s="50"/>
      <c r="H5" s="50"/>
      <c r="I5" s="50"/>
      <c r="J5" s="50"/>
      <c r="K5" s="50"/>
      <c r="L5" s="50"/>
      <c r="M5" s="50"/>
      <c r="N5" s="50"/>
      <c r="O5" s="50">
        <v>5</v>
      </c>
      <c r="P5" s="50"/>
      <c r="Q5" s="50"/>
      <c r="R5" s="50"/>
      <c r="S5" s="50"/>
      <c r="T5" s="50"/>
      <c r="U5" s="50"/>
      <c r="V5" s="50">
        <v>15</v>
      </c>
      <c r="W5" s="50"/>
      <c r="X5" s="48">
        <f>B5+C5+D5+E5+F5+G5+H5+I5+J5+K5+L5+M5+N5+O5+P5+Q5+R5+S5+T5+U5+V5+W5</f>
        <v>20</v>
      </c>
    </row>
    <row r="6" spans="1:24">
      <c r="A6" s="47" t="s">
        <v>237</v>
      </c>
      <c r="B6" s="48">
        <f>B7+B8</f>
        <v>0</v>
      </c>
      <c r="C6" s="48">
        <f t="shared" ref="C6:W6" si="1">C7+C8</f>
        <v>0</v>
      </c>
      <c r="D6" s="48">
        <f t="shared" si="1"/>
        <v>0</v>
      </c>
      <c r="E6" s="48">
        <f t="shared" si="1"/>
        <v>100</v>
      </c>
      <c r="F6" s="48">
        <f t="shared" si="1"/>
        <v>0</v>
      </c>
      <c r="G6" s="48">
        <f t="shared" si="1"/>
        <v>0</v>
      </c>
      <c r="H6" s="48">
        <f t="shared" si="1"/>
        <v>0</v>
      </c>
      <c r="I6" s="48">
        <f t="shared" si="1"/>
        <v>180</v>
      </c>
      <c r="J6" s="48">
        <f t="shared" si="1"/>
        <v>50</v>
      </c>
      <c r="K6" s="48">
        <f t="shared" si="1"/>
        <v>0</v>
      </c>
      <c r="L6" s="48">
        <f t="shared" si="1"/>
        <v>0</v>
      </c>
      <c r="M6" s="48">
        <f t="shared" si="1"/>
        <v>300</v>
      </c>
      <c r="N6" s="48">
        <f t="shared" si="1"/>
        <v>0</v>
      </c>
      <c r="O6" s="48">
        <f t="shared" si="1"/>
        <v>180</v>
      </c>
      <c r="P6" s="48">
        <f t="shared" si="1"/>
        <v>0</v>
      </c>
      <c r="Q6" s="48">
        <f t="shared" si="1"/>
        <v>400</v>
      </c>
      <c r="R6" s="48">
        <f t="shared" si="1"/>
        <v>0</v>
      </c>
      <c r="S6" s="48">
        <f t="shared" si="1"/>
        <v>0</v>
      </c>
      <c r="T6" s="48">
        <f t="shared" si="1"/>
        <v>0</v>
      </c>
      <c r="U6" s="48">
        <f t="shared" si="1"/>
        <v>5</v>
      </c>
      <c r="V6" s="48">
        <f t="shared" si="1"/>
        <v>300</v>
      </c>
      <c r="W6" s="48">
        <f t="shared" si="1"/>
        <v>0</v>
      </c>
      <c r="X6" s="48">
        <f t="shared" ref="X6:X69" si="2">B6+C6+D6+E6+F6+G6+H6+I6+J6+K6+L6+M6+N6+O6+P6+Q6+R6+S6+T6+U6+V6+W6</f>
        <v>1515</v>
      </c>
    </row>
    <row r="7" spans="1:24">
      <c r="A7" s="52">
        <v>3</v>
      </c>
      <c r="B7" s="50"/>
      <c r="C7" s="50"/>
      <c r="D7" s="50"/>
      <c r="E7" s="50">
        <v>100</v>
      </c>
      <c r="F7" s="50"/>
      <c r="G7" s="50"/>
      <c r="H7" s="50"/>
      <c r="I7" s="50">
        <v>120</v>
      </c>
      <c r="J7" s="50">
        <v>25</v>
      </c>
      <c r="K7" s="50"/>
      <c r="L7" s="50"/>
      <c r="M7" s="50">
        <v>174</v>
      </c>
      <c r="N7" s="50"/>
      <c r="O7" s="50">
        <v>150</v>
      </c>
      <c r="P7" s="50"/>
      <c r="Q7" s="50">
        <v>280</v>
      </c>
      <c r="R7" s="50"/>
      <c r="S7" s="50"/>
      <c r="T7" s="50"/>
      <c r="U7" s="50"/>
      <c r="V7" s="50">
        <v>300</v>
      </c>
      <c r="W7" s="50"/>
      <c r="X7" s="48">
        <f t="shared" si="2"/>
        <v>1149</v>
      </c>
    </row>
    <row r="8" spans="1:24">
      <c r="A8" s="52">
        <v>4</v>
      </c>
      <c r="B8" s="50"/>
      <c r="C8" s="50"/>
      <c r="D8" s="51"/>
      <c r="E8" s="50"/>
      <c r="F8" s="50"/>
      <c r="G8" s="50"/>
      <c r="H8" s="50"/>
      <c r="I8" s="50">
        <v>60</v>
      </c>
      <c r="J8" s="50">
        <v>25</v>
      </c>
      <c r="K8" s="50"/>
      <c r="L8" s="50"/>
      <c r="M8" s="50">
        <v>126</v>
      </c>
      <c r="N8" s="50"/>
      <c r="O8" s="50">
        <v>30</v>
      </c>
      <c r="P8" s="50"/>
      <c r="Q8" s="50">
        <v>120</v>
      </c>
      <c r="R8" s="50"/>
      <c r="S8" s="50"/>
      <c r="T8" s="50"/>
      <c r="U8" s="50">
        <v>5</v>
      </c>
      <c r="V8" s="50"/>
      <c r="W8" s="50"/>
      <c r="X8" s="48">
        <f t="shared" si="2"/>
        <v>366</v>
      </c>
    </row>
    <row r="9" spans="1:24">
      <c r="A9" s="47" t="s">
        <v>238</v>
      </c>
      <c r="B9" s="48">
        <f>B10</f>
        <v>0</v>
      </c>
      <c r="C9" s="48">
        <f t="shared" ref="C9:W9" si="3">C10</f>
        <v>0</v>
      </c>
      <c r="D9" s="48">
        <f t="shared" si="3"/>
        <v>0</v>
      </c>
      <c r="E9" s="48">
        <f t="shared" si="3"/>
        <v>0</v>
      </c>
      <c r="F9" s="48">
        <f t="shared" si="3"/>
        <v>0</v>
      </c>
      <c r="G9" s="48">
        <f t="shared" si="3"/>
        <v>0</v>
      </c>
      <c r="H9" s="48">
        <f t="shared" si="3"/>
        <v>0</v>
      </c>
      <c r="I9" s="48">
        <f t="shared" si="3"/>
        <v>0</v>
      </c>
      <c r="J9" s="48">
        <f t="shared" si="3"/>
        <v>36</v>
      </c>
      <c r="K9" s="48">
        <f t="shared" si="3"/>
        <v>0</v>
      </c>
      <c r="L9" s="48">
        <f t="shared" si="3"/>
        <v>0</v>
      </c>
      <c r="M9" s="48">
        <f t="shared" si="3"/>
        <v>0</v>
      </c>
      <c r="N9" s="48">
        <f t="shared" si="3"/>
        <v>0</v>
      </c>
      <c r="O9" s="48">
        <f t="shared" si="3"/>
        <v>0</v>
      </c>
      <c r="P9" s="48">
        <f t="shared" si="3"/>
        <v>0</v>
      </c>
      <c r="Q9" s="48">
        <f t="shared" si="3"/>
        <v>50</v>
      </c>
      <c r="R9" s="48">
        <f t="shared" si="3"/>
        <v>0</v>
      </c>
      <c r="S9" s="48">
        <f t="shared" si="3"/>
        <v>0</v>
      </c>
      <c r="T9" s="48">
        <f t="shared" si="3"/>
        <v>0</v>
      </c>
      <c r="U9" s="48">
        <f t="shared" si="3"/>
        <v>35</v>
      </c>
      <c r="V9" s="48">
        <f t="shared" si="3"/>
        <v>25</v>
      </c>
      <c r="W9" s="48">
        <f t="shared" si="3"/>
        <v>0</v>
      </c>
      <c r="X9" s="48">
        <f t="shared" si="2"/>
        <v>146</v>
      </c>
    </row>
    <row r="10" spans="1:24" ht="12" customHeight="1">
      <c r="A10" s="52">
        <v>5</v>
      </c>
      <c r="B10" s="50"/>
      <c r="C10" s="50"/>
      <c r="D10" s="51"/>
      <c r="E10" s="50"/>
      <c r="F10" s="50"/>
      <c r="G10" s="50"/>
      <c r="H10" s="50"/>
      <c r="I10" s="50"/>
      <c r="J10" s="50">
        <v>36</v>
      </c>
      <c r="K10" s="50"/>
      <c r="L10" s="50"/>
      <c r="M10" s="50"/>
      <c r="N10" s="50"/>
      <c r="O10" s="50"/>
      <c r="P10" s="50"/>
      <c r="Q10" s="50">
        <v>50</v>
      </c>
      <c r="R10" s="50"/>
      <c r="S10" s="50"/>
      <c r="T10" s="50"/>
      <c r="U10" s="50">
        <v>35</v>
      </c>
      <c r="V10" s="50">
        <v>25</v>
      </c>
      <c r="W10" s="50"/>
      <c r="X10" s="48">
        <f t="shared" si="2"/>
        <v>146</v>
      </c>
    </row>
    <row r="11" spans="1:24">
      <c r="A11" s="47" t="s">
        <v>239</v>
      </c>
      <c r="B11" s="48">
        <f>B12+B13</f>
        <v>0</v>
      </c>
      <c r="C11" s="48">
        <f t="shared" ref="C11:W11" si="4">C12+C13</f>
        <v>0</v>
      </c>
      <c r="D11" s="48">
        <f t="shared" si="4"/>
        <v>0</v>
      </c>
      <c r="E11" s="48">
        <f t="shared" si="4"/>
        <v>0</v>
      </c>
      <c r="F11" s="48">
        <f t="shared" si="4"/>
        <v>0</v>
      </c>
      <c r="G11" s="48">
        <f t="shared" si="4"/>
        <v>10</v>
      </c>
      <c r="H11" s="48">
        <f t="shared" si="4"/>
        <v>0</v>
      </c>
      <c r="I11" s="48">
        <f t="shared" si="4"/>
        <v>0</v>
      </c>
      <c r="J11" s="48">
        <f t="shared" si="4"/>
        <v>0</v>
      </c>
      <c r="K11" s="48">
        <f t="shared" si="4"/>
        <v>0</v>
      </c>
      <c r="L11" s="48">
        <f t="shared" si="4"/>
        <v>0</v>
      </c>
      <c r="M11" s="48">
        <f t="shared" si="4"/>
        <v>0</v>
      </c>
      <c r="N11" s="48">
        <f t="shared" si="4"/>
        <v>0</v>
      </c>
      <c r="O11" s="48">
        <f t="shared" si="4"/>
        <v>0</v>
      </c>
      <c r="P11" s="48">
        <f t="shared" si="4"/>
        <v>0</v>
      </c>
      <c r="Q11" s="48">
        <f t="shared" si="4"/>
        <v>40</v>
      </c>
      <c r="R11" s="48">
        <f t="shared" si="4"/>
        <v>0</v>
      </c>
      <c r="S11" s="48">
        <f t="shared" si="4"/>
        <v>0</v>
      </c>
      <c r="T11" s="48">
        <f t="shared" si="4"/>
        <v>0</v>
      </c>
      <c r="U11" s="48">
        <f t="shared" si="4"/>
        <v>20</v>
      </c>
      <c r="V11" s="48">
        <f t="shared" si="4"/>
        <v>50</v>
      </c>
      <c r="W11" s="48">
        <f t="shared" si="4"/>
        <v>0</v>
      </c>
      <c r="X11" s="48">
        <f t="shared" si="2"/>
        <v>120</v>
      </c>
    </row>
    <row r="12" spans="1:24">
      <c r="A12" s="52">
        <v>6</v>
      </c>
      <c r="B12" s="50"/>
      <c r="C12" s="50"/>
      <c r="D12" s="51"/>
      <c r="E12" s="50"/>
      <c r="F12" s="50"/>
      <c r="G12" s="50">
        <v>10</v>
      </c>
      <c r="H12" s="50"/>
      <c r="I12" s="50"/>
      <c r="J12" s="50"/>
      <c r="K12" s="50"/>
      <c r="L12" s="50"/>
      <c r="M12" s="50"/>
      <c r="N12" s="50"/>
      <c r="O12" s="50"/>
      <c r="P12" s="50"/>
      <c r="Q12" s="50">
        <v>40</v>
      </c>
      <c r="R12" s="50"/>
      <c r="S12" s="50"/>
      <c r="T12" s="50"/>
      <c r="U12" s="50">
        <v>20</v>
      </c>
      <c r="V12" s="50">
        <v>50</v>
      </c>
      <c r="W12" s="50"/>
      <c r="X12" s="48">
        <f t="shared" si="2"/>
        <v>120</v>
      </c>
    </row>
    <row r="13" spans="1:24">
      <c r="A13" s="52">
        <v>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48">
        <f t="shared" si="2"/>
        <v>0</v>
      </c>
    </row>
    <row r="14" spans="1:24" ht="30">
      <c r="A14" s="47" t="s">
        <v>240</v>
      </c>
      <c r="B14" s="48">
        <f>B15</f>
        <v>0</v>
      </c>
      <c r="C14" s="48">
        <f t="shared" ref="C14:W14" si="5">C15</f>
        <v>0</v>
      </c>
      <c r="D14" s="48">
        <f t="shared" si="5"/>
        <v>0</v>
      </c>
      <c r="E14" s="48">
        <f t="shared" si="5"/>
        <v>0</v>
      </c>
      <c r="F14" s="48">
        <f t="shared" si="5"/>
        <v>0</v>
      </c>
      <c r="G14" s="48">
        <f t="shared" si="5"/>
        <v>0</v>
      </c>
      <c r="H14" s="48">
        <f t="shared" si="5"/>
        <v>0</v>
      </c>
      <c r="I14" s="48">
        <f t="shared" si="5"/>
        <v>0</v>
      </c>
      <c r="J14" s="48">
        <f t="shared" si="5"/>
        <v>0</v>
      </c>
      <c r="K14" s="48">
        <f t="shared" si="5"/>
        <v>0</v>
      </c>
      <c r="L14" s="48">
        <f t="shared" si="5"/>
        <v>0</v>
      </c>
      <c r="M14" s="48">
        <f t="shared" si="5"/>
        <v>0</v>
      </c>
      <c r="N14" s="48">
        <f t="shared" si="5"/>
        <v>0</v>
      </c>
      <c r="O14" s="48">
        <f t="shared" si="5"/>
        <v>0</v>
      </c>
      <c r="P14" s="48">
        <f t="shared" si="5"/>
        <v>0</v>
      </c>
      <c r="Q14" s="48">
        <f t="shared" si="5"/>
        <v>0</v>
      </c>
      <c r="R14" s="48">
        <f t="shared" si="5"/>
        <v>0</v>
      </c>
      <c r="S14" s="48">
        <f t="shared" si="5"/>
        <v>0</v>
      </c>
      <c r="T14" s="48">
        <f t="shared" si="5"/>
        <v>0</v>
      </c>
      <c r="U14" s="48">
        <f t="shared" si="5"/>
        <v>11</v>
      </c>
      <c r="V14" s="48">
        <f t="shared" si="5"/>
        <v>0</v>
      </c>
      <c r="W14" s="48">
        <f t="shared" si="5"/>
        <v>0</v>
      </c>
      <c r="X14" s="48">
        <f t="shared" si="2"/>
        <v>11</v>
      </c>
    </row>
    <row r="15" spans="1:24">
      <c r="A15" s="52">
        <v>8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>
        <v>11</v>
      </c>
      <c r="V15" s="50"/>
      <c r="W15" s="50"/>
      <c r="X15" s="48">
        <f t="shared" si="2"/>
        <v>11</v>
      </c>
    </row>
    <row r="16" spans="1:24">
      <c r="A16" s="47" t="s">
        <v>241</v>
      </c>
      <c r="B16" s="48">
        <f t="shared" ref="B16:W16" si="6">B17</f>
        <v>0</v>
      </c>
      <c r="C16" s="48">
        <f t="shared" si="6"/>
        <v>0</v>
      </c>
      <c r="D16" s="48">
        <f t="shared" si="6"/>
        <v>0</v>
      </c>
      <c r="E16" s="48">
        <f t="shared" si="6"/>
        <v>0</v>
      </c>
      <c r="F16" s="48">
        <f t="shared" si="6"/>
        <v>0</v>
      </c>
      <c r="G16" s="48">
        <f t="shared" si="6"/>
        <v>0</v>
      </c>
      <c r="H16" s="48">
        <f t="shared" si="6"/>
        <v>0</v>
      </c>
      <c r="I16" s="48">
        <f t="shared" si="6"/>
        <v>0</v>
      </c>
      <c r="J16" s="48">
        <f t="shared" si="6"/>
        <v>0</v>
      </c>
      <c r="K16" s="48">
        <f t="shared" si="6"/>
        <v>0</v>
      </c>
      <c r="L16" s="48">
        <f t="shared" si="6"/>
        <v>0</v>
      </c>
      <c r="M16" s="48">
        <f t="shared" si="6"/>
        <v>0</v>
      </c>
      <c r="N16" s="48">
        <f t="shared" si="6"/>
        <v>0</v>
      </c>
      <c r="O16" s="48">
        <f t="shared" si="6"/>
        <v>0</v>
      </c>
      <c r="P16" s="48">
        <f t="shared" si="6"/>
        <v>52</v>
      </c>
      <c r="Q16" s="48">
        <f t="shared" si="6"/>
        <v>0</v>
      </c>
      <c r="R16" s="48">
        <f t="shared" si="6"/>
        <v>0</v>
      </c>
      <c r="S16" s="48">
        <f t="shared" si="6"/>
        <v>0</v>
      </c>
      <c r="T16" s="48">
        <f t="shared" si="6"/>
        <v>0</v>
      </c>
      <c r="U16" s="48">
        <f t="shared" si="6"/>
        <v>0</v>
      </c>
      <c r="V16" s="48">
        <f t="shared" si="6"/>
        <v>0</v>
      </c>
      <c r="W16" s="48">
        <f t="shared" si="6"/>
        <v>0</v>
      </c>
      <c r="X16" s="48">
        <f t="shared" si="2"/>
        <v>52</v>
      </c>
    </row>
    <row r="17" spans="1:24">
      <c r="A17" s="52">
        <v>9</v>
      </c>
      <c r="B17" s="50"/>
      <c r="C17" s="50"/>
      <c r="D17" s="51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>
        <v>52</v>
      </c>
      <c r="Q17" s="50"/>
      <c r="R17" s="50"/>
      <c r="S17" s="50"/>
      <c r="T17" s="50"/>
      <c r="U17" s="50"/>
      <c r="V17" s="50"/>
      <c r="W17" s="50"/>
      <c r="X17" s="48">
        <f t="shared" si="2"/>
        <v>52</v>
      </c>
    </row>
    <row r="18" spans="1:24">
      <c r="A18" s="47" t="s">
        <v>242</v>
      </c>
      <c r="B18" s="48">
        <f>B19+B20</f>
        <v>0</v>
      </c>
      <c r="C18" s="48">
        <f t="shared" ref="C18:W18" si="7">C19+C20</f>
        <v>0</v>
      </c>
      <c r="D18" s="48">
        <f t="shared" si="7"/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100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si="7"/>
        <v>0</v>
      </c>
      <c r="N18" s="48">
        <f t="shared" si="7"/>
        <v>0</v>
      </c>
      <c r="O18" s="48">
        <f t="shared" si="7"/>
        <v>0</v>
      </c>
      <c r="P18" s="48">
        <f t="shared" si="7"/>
        <v>0</v>
      </c>
      <c r="Q18" s="48">
        <f t="shared" si="7"/>
        <v>0</v>
      </c>
      <c r="R18" s="48">
        <f t="shared" si="7"/>
        <v>0</v>
      </c>
      <c r="S18" s="48">
        <f t="shared" si="7"/>
        <v>0</v>
      </c>
      <c r="T18" s="48">
        <f t="shared" si="7"/>
        <v>0</v>
      </c>
      <c r="U18" s="48">
        <f t="shared" si="7"/>
        <v>0</v>
      </c>
      <c r="V18" s="48">
        <f t="shared" si="7"/>
        <v>0</v>
      </c>
      <c r="W18" s="48">
        <f t="shared" si="7"/>
        <v>0</v>
      </c>
      <c r="X18" s="48">
        <f t="shared" si="2"/>
        <v>100</v>
      </c>
    </row>
    <row r="19" spans="1:24">
      <c r="A19" s="52">
        <v>10</v>
      </c>
      <c r="B19" s="50"/>
      <c r="C19" s="50"/>
      <c r="D19" s="51"/>
      <c r="E19" s="50"/>
      <c r="F19" s="50"/>
      <c r="G19" s="50"/>
      <c r="H19" s="50"/>
      <c r="I19" s="50">
        <v>90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48">
        <f t="shared" si="2"/>
        <v>90</v>
      </c>
    </row>
    <row r="20" spans="1:24">
      <c r="A20" s="52">
        <v>11</v>
      </c>
      <c r="B20" s="50"/>
      <c r="C20" s="50"/>
      <c r="D20" s="51"/>
      <c r="E20" s="50"/>
      <c r="F20" s="50"/>
      <c r="G20" s="50"/>
      <c r="H20" s="50"/>
      <c r="I20" s="50">
        <v>10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48">
        <f t="shared" si="2"/>
        <v>10</v>
      </c>
    </row>
    <row r="21" spans="1:24">
      <c r="A21" s="47" t="s">
        <v>243</v>
      </c>
      <c r="B21" s="47">
        <f>B22+B23+B24+B25+B26+B27</f>
        <v>98</v>
      </c>
      <c r="C21" s="47">
        <f t="shared" ref="C21:W21" si="8">C22+C23+C24+C25+C26+C27</f>
        <v>0</v>
      </c>
      <c r="D21" s="47">
        <f t="shared" si="8"/>
        <v>0</v>
      </c>
      <c r="E21" s="47">
        <f t="shared" si="8"/>
        <v>0</v>
      </c>
      <c r="F21" s="47">
        <f t="shared" si="8"/>
        <v>0</v>
      </c>
      <c r="G21" s="47">
        <f t="shared" si="8"/>
        <v>0</v>
      </c>
      <c r="H21" s="47">
        <f t="shared" si="8"/>
        <v>24</v>
      </c>
      <c r="I21" s="47">
        <f t="shared" si="8"/>
        <v>0</v>
      </c>
      <c r="J21" s="47">
        <f t="shared" si="8"/>
        <v>152</v>
      </c>
      <c r="K21" s="47">
        <f t="shared" si="8"/>
        <v>170</v>
      </c>
      <c r="L21" s="47">
        <f t="shared" si="8"/>
        <v>0</v>
      </c>
      <c r="M21" s="47">
        <f t="shared" si="8"/>
        <v>0</v>
      </c>
      <c r="N21" s="47">
        <f t="shared" si="8"/>
        <v>0</v>
      </c>
      <c r="O21" s="47">
        <f t="shared" si="8"/>
        <v>0</v>
      </c>
      <c r="P21" s="47">
        <f t="shared" si="8"/>
        <v>0</v>
      </c>
      <c r="Q21" s="47">
        <f t="shared" si="8"/>
        <v>385</v>
      </c>
      <c r="R21" s="47">
        <f t="shared" si="8"/>
        <v>0</v>
      </c>
      <c r="S21" s="47">
        <f t="shared" si="8"/>
        <v>0</v>
      </c>
      <c r="T21" s="47">
        <f t="shared" si="8"/>
        <v>0</v>
      </c>
      <c r="U21" s="47">
        <f t="shared" si="8"/>
        <v>122</v>
      </c>
      <c r="V21" s="52">
        <f t="shared" si="8"/>
        <v>50</v>
      </c>
      <c r="W21" s="52">
        <f t="shared" si="8"/>
        <v>0</v>
      </c>
      <c r="X21" s="52">
        <f t="shared" si="2"/>
        <v>1001</v>
      </c>
    </row>
    <row r="22" spans="1:24">
      <c r="A22" s="52">
        <v>12</v>
      </c>
      <c r="B22" s="50">
        <v>80</v>
      </c>
      <c r="C22" s="50"/>
      <c r="D22" s="51"/>
      <c r="E22" s="51"/>
      <c r="F22" s="50"/>
      <c r="G22" s="50"/>
      <c r="H22" s="50">
        <v>6</v>
      </c>
      <c r="I22" s="50"/>
      <c r="J22" s="50">
        <v>136</v>
      </c>
      <c r="K22" s="50">
        <v>157</v>
      </c>
      <c r="L22" s="50"/>
      <c r="M22" s="50"/>
      <c r="N22" s="50"/>
      <c r="O22" s="50"/>
      <c r="P22" s="50"/>
      <c r="Q22" s="50">
        <v>320</v>
      </c>
      <c r="R22" s="50"/>
      <c r="S22" s="50"/>
      <c r="T22" s="50"/>
      <c r="U22" s="50">
        <v>62</v>
      </c>
      <c r="V22" s="50">
        <v>50</v>
      </c>
      <c r="W22" s="50"/>
      <c r="X22" s="48">
        <f t="shared" si="2"/>
        <v>811</v>
      </c>
    </row>
    <row r="23" spans="1:24">
      <c r="A23" s="52">
        <v>13</v>
      </c>
      <c r="B23" s="50"/>
      <c r="C23" s="50"/>
      <c r="D23" s="50"/>
      <c r="E23" s="50"/>
      <c r="F23" s="50"/>
      <c r="G23" s="50"/>
      <c r="H23" s="50"/>
      <c r="I23" s="50"/>
      <c r="J23" s="50"/>
      <c r="K23" s="50">
        <v>3</v>
      </c>
      <c r="L23" s="50"/>
      <c r="M23" s="50"/>
      <c r="N23" s="50"/>
      <c r="O23" s="50"/>
      <c r="P23" s="50"/>
      <c r="Q23" s="50">
        <v>5</v>
      </c>
      <c r="R23" s="50"/>
      <c r="S23" s="50"/>
      <c r="T23" s="50"/>
      <c r="U23" s="50"/>
      <c r="V23" s="50"/>
      <c r="W23" s="50"/>
      <c r="X23" s="48">
        <f t="shared" si="2"/>
        <v>8</v>
      </c>
    </row>
    <row r="24" spans="1:24">
      <c r="A24" s="52">
        <v>14</v>
      </c>
      <c r="B24" s="50">
        <v>3</v>
      </c>
      <c r="C24" s="50"/>
      <c r="D24" s="51"/>
      <c r="E24" s="50"/>
      <c r="F24" s="50"/>
      <c r="G24" s="50"/>
      <c r="H24" s="50"/>
      <c r="I24" s="50"/>
      <c r="J24" s="50">
        <v>10</v>
      </c>
      <c r="K24" s="50">
        <v>10</v>
      </c>
      <c r="L24" s="50"/>
      <c r="M24" s="50"/>
      <c r="N24" s="50"/>
      <c r="O24" s="50"/>
      <c r="P24" s="50"/>
      <c r="Q24" s="50">
        <v>15</v>
      </c>
      <c r="R24" s="50"/>
      <c r="S24" s="50"/>
      <c r="T24" s="50"/>
      <c r="U24" s="50"/>
      <c r="V24" s="50"/>
      <c r="W24" s="50"/>
      <c r="X24" s="48">
        <f t="shared" si="2"/>
        <v>38</v>
      </c>
    </row>
    <row r="25" spans="1:24">
      <c r="A25" s="52">
        <v>15</v>
      </c>
      <c r="B25" s="50">
        <v>0</v>
      </c>
      <c r="C25" s="50"/>
      <c r="D25" s="51"/>
      <c r="E25" s="50"/>
      <c r="F25" s="50"/>
      <c r="G25" s="50"/>
      <c r="H25" s="50">
        <f>19-1</f>
        <v>18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>
        <v>60</v>
      </c>
      <c r="V25" s="50"/>
      <c r="W25" s="50"/>
      <c r="X25" s="48">
        <f t="shared" si="2"/>
        <v>78</v>
      </c>
    </row>
    <row r="26" spans="1:24">
      <c r="A26" s="52">
        <v>16</v>
      </c>
      <c r="B26" s="50">
        <f>5-5</f>
        <v>0</v>
      </c>
      <c r="C26" s="50"/>
      <c r="D26" s="51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>
        <v>15</v>
      </c>
      <c r="R26" s="50"/>
      <c r="S26" s="50"/>
      <c r="T26" s="50"/>
      <c r="U26" s="50"/>
      <c r="V26" s="50"/>
      <c r="W26" s="50"/>
      <c r="X26" s="48">
        <f t="shared" si="2"/>
        <v>15</v>
      </c>
    </row>
    <row r="27" spans="1:24">
      <c r="A27" s="52">
        <v>17</v>
      </c>
      <c r="B27" s="50">
        <v>15</v>
      </c>
      <c r="C27" s="50"/>
      <c r="D27" s="51"/>
      <c r="E27" s="50"/>
      <c r="F27" s="50"/>
      <c r="G27" s="50"/>
      <c r="H27" s="50"/>
      <c r="I27" s="50"/>
      <c r="J27" s="50">
        <v>6</v>
      </c>
      <c r="K27" s="50"/>
      <c r="L27" s="50"/>
      <c r="M27" s="50"/>
      <c r="N27" s="50"/>
      <c r="O27" s="50"/>
      <c r="P27" s="50"/>
      <c r="Q27" s="50">
        <v>30</v>
      </c>
      <c r="R27" s="50"/>
      <c r="S27" s="50"/>
      <c r="T27" s="50"/>
      <c r="U27" s="50"/>
      <c r="V27" s="50"/>
      <c r="W27" s="50"/>
      <c r="X27" s="48">
        <f t="shared" si="2"/>
        <v>51</v>
      </c>
    </row>
    <row r="28" spans="1:24">
      <c r="A28" s="47" t="s">
        <v>244</v>
      </c>
      <c r="B28" s="47">
        <f>B29+B30</f>
        <v>0</v>
      </c>
      <c r="C28" s="47">
        <f t="shared" ref="C28:W28" si="9">C29+C30</f>
        <v>0</v>
      </c>
      <c r="D28" s="47">
        <f t="shared" si="9"/>
        <v>0</v>
      </c>
      <c r="E28" s="47">
        <f t="shared" si="9"/>
        <v>40</v>
      </c>
      <c r="F28" s="47">
        <f t="shared" si="9"/>
        <v>0</v>
      </c>
      <c r="G28" s="47">
        <f t="shared" si="9"/>
        <v>0</v>
      </c>
      <c r="H28" s="47">
        <f t="shared" si="9"/>
        <v>120</v>
      </c>
      <c r="I28" s="47">
        <f t="shared" si="9"/>
        <v>0</v>
      </c>
      <c r="J28" s="47">
        <f t="shared" si="9"/>
        <v>0</v>
      </c>
      <c r="K28" s="47">
        <f t="shared" si="9"/>
        <v>0</v>
      </c>
      <c r="L28" s="47">
        <f t="shared" si="9"/>
        <v>0</v>
      </c>
      <c r="M28" s="47">
        <f t="shared" si="9"/>
        <v>360</v>
      </c>
      <c r="N28" s="47">
        <f t="shared" si="9"/>
        <v>0</v>
      </c>
      <c r="O28" s="47">
        <f t="shared" si="9"/>
        <v>0</v>
      </c>
      <c r="P28" s="47">
        <f t="shared" si="9"/>
        <v>0</v>
      </c>
      <c r="Q28" s="47">
        <f t="shared" si="9"/>
        <v>270</v>
      </c>
      <c r="R28" s="47">
        <f t="shared" si="9"/>
        <v>0</v>
      </c>
      <c r="S28" s="47">
        <f t="shared" si="9"/>
        <v>0</v>
      </c>
      <c r="T28" s="47">
        <f t="shared" si="9"/>
        <v>0</v>
      </c>
      <c r="U28" s="47">
        <f t="shared" si="9"/>
        <v>260</v>
      </c>
      <c r="V28" s="52">
        <f t="shared" si="9"/>
        <v>114</v>
      </c>
      <c r="W28" s="52">
        <f t="shared" si="9"/>
        <v>0</v>
      </c>
      <c r="X28" s="52">
        <f t="shared" si="2"/>
        <v>1164</v>
      </c>
    </row>
    <row r="29" spans="1:24">
      <c r="A29" s="52">
        <v>18</v>
      </c>
      <c r="B29" s="50"/>
      <c r="C29" s="50"/>
      <c r="D29" s="50"/>
      <c r="E29" s="50">
        <v>35</v>
      </c>
      <c r="F29" s="50"/>
      <c r="G29" s="50"/>
      <c r="H29" s="50">
        <f>42+50</f>
        <v>92</v>
      </c>
      <c r="I29" s="50"/>
      <c r="J29" s="50"/>
      <c r="K29" s="50"/>
      <c r="L29" s="50"/>
      <c r="M29" s="50">
        <v>180</v>
      </c>
      <c r="N29" s="50"/>
      <c r="O29" s="50"/>
      <c r="P29" s="50"/>
      <c r="Q29" s="50">
        <v>170</v>
      </c>
      <c r="R29" s="50"/>
      <c r="S29" s="50"/>
      <c r="T29" s="50"/>
      <c r="U29" s="50">
        <v>195</v>
      </c>
      <c r="V29" s="50">
        <v>89</v>
      </c>
      <c r="W29" s="50"/>
      <c r="X29" s="48">
        <f t="shared" si="2"/>
        <v>761</v>
      </c>
    </row>
    <row r="30" spans="1:24">
      <c r="A30" s="52">
        <v>19</v>
      </c>
      <c r="B30" s="50"/>
      <c r="C30" s="50"/>
      <c r="D30" s="50"/>
      <c r="E30" s="50">
        <v>5</v>
      </c>
      <c r="F30" s="50"/>
      <c r="G30" s="50"/>
      <c r="H30" s="50">
        <f>78-50</f>
        <v>28</v>
      </c>
      <c r="I30" s="50"/>
      <c r="J30" s="50"/>
      <c r="K30" s="50"/>
      <c r="L30" s="50"/>
      <c r="M30" s="50">
        <v>180</v>
      </c>
      <c r="N30" s="50"/>
      <c r="O30" s="50"/>
      <c r="P30" s="50"/>
      <c r="Q30" s="50">
        <v>100</v>
      </c>
      <c r="R30" s="50"/>
      <c r="S30" s="50"/>
      <c r="T30" s="50"/>
      <c r="U30" s="50">
        <v>65</v>
      </c>
      <c r="V30" s="50">
        <f>15+10</f>
        <v>25</v>
      </c>
      <c r="W30" s="50"/>
      <c r="X30" s="48">
        <f t="shared" si="2"/>
        <v>403</v>
      </c>
    </row>
    <row r="31" spans="1:24">
      <c r="A31" s="47" t="s">
        <v>245</v>
      </c>
      <c r="B31" s="47">
        <f>B32+B33+B34</f>
        <v>0</v>
      </c>
      <c r="C31" s="47">
        <f t="shared" ref="C31:W31" si="10">C32+C33+C34</f>
        <v>0</v>
      </c>
      <c r="D31" s="47">
        <f t="shared" si="10"/>
        <v>0</v>
      </c>
      <c r="E31" s="47">
        <f t="shared" si="10"/>
        <v>0</v>
      </c>
      <c r="F31" s="47">
        <f t="shared" si="10"/>
        <v>0</v>
      </c>
      <c r="G31" s="47">
        <f t="shared" si="10"/>
        <v>0</v>
      </c>
      <c r="H31" s="47">
        <f t="shared" si="10"/>
        <v>0</v>
      </c>
      <c r="I31" s="47">
        <f t="shared" si="10"/>
        <v>0</v>
      </c>
      <c r="J31" s="47">
        <f t="shared" si="10"/>
        <v>0</v>
      </c>
      <c r="K31" s="47">
        <f t="shared" si="10"/>
        <v>0</v>
      </c>
      <c r="L31" s="47">
        <f t="shared" si="10"/>
        <v>0</v>
      </c>
      <c r="M31" s="47">
        <f t="shared" si="10"/>
        <v>0</v>
      </c>
      <c r="N31" s="47">
        <f t="shared" si="10"/>
        <v>0</v>
      </c>
      <c r="O31" s="47">
        <f t="shared" si="10"/>
        <v>0</v>
      </c>
      <c r="P31" s="47">
        <f t="shared" si="10"/>
        <v>0</v>
      </c>
      <c r="Q31" s="47">
        <f t="shared" si="10"/>
        <v>101</v>
      </c>
      <c r="R31" s="47">
        <f t="shared" si="10"/>
        <v>0</v>
      </c>
      <c r="S31" s="47">
        <f t="shared" si="10"/>
        <v>1020</v>
      </c>
      <c r="T31" s="47">
        <f t="shared" si="10"/>
        <v>0</v>
      </c>
      <c r="U31" s="47">
        <f t="shared" si="10"/>
        <v>105</v>
      </c>
      <c r="V31" s="52">
        <f t="shared" si="10"/>
        <v>150</v>
      </c>
      <c r="W31" s="52">
        <f t="shared" si="10"/>
        <v>0</v>
      </c>
      <c r="X31" s="52">
        <f t="shared" si="2"/>
        <v>1376</v>
      </c>
    </row>
    <row r="32" spans="1:24">
      <c r="A32" s="52">
        <v>20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>
        <v>41</v>
      </c>
      <c r="R32" s="50"/>
      <c r="S32" s="50">
        <v>780</v>
      </c>
      <c r="T32" s="50"/>
      <c r="U32" s="50">
        <v>0</v>
      </c>
      <c r="V32" s="50">
        <f>80+20</f>
        <v>100</v>
      </c>
      <c r="W32" s="50"/>
      <c r="X32" s="48">
        <f t="shared" si="2"/>
        <v>921</v>
      </c>
    </row>
    <row r="33" spans="1:24">
      <c r="A33" s="52">
        <v>21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>
        <f>10-10</f>
        <v>0</v>
      </c>
      <c r="W33" s="50"/>
      <c r="X33" s="48">
        <f t="shared" si="2"/>
        <v>0</v>
      </c>
    </row>
    <row r="34" spans="1:24">
      <c r="A34" s="52">
        <v>22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>
        <v>60</v>
      </c>
      <c r="R34" s="50"/>
      <c r="S34" s="50">
        <v>240</v>
      </c>
      <c r="T34" s="50"/>
      <c r="U34" s="50">
        <v>105</v>
      </c>
      <c r="V34" s="50">
        <f>70-20</f>
        <v>50</v>
      </c>
      <c r="W34" s="50"/>
      <c r="X34" s="48">
        <f t="shared" si="2"/>
        <v>455</v>
      </c>
    </row>
    <row r="35" spans="1:24">
      <c r="A35" s="47" t="s">
        <v>246</v>
      </c>
      <c r="B35" s="47">
        <f>B36+B37</f>
        <v>15</v>
      </c>
      <c r="C35" s="47">
        <f t="shared" ref="C35:W35" si="11">C36+C37</f>
        <v>0</v>
      </c>
      <c r="D35" s="47">
        <f t="shared" si="11"/>
        <v>0</v>
      </c>
      <c r="E35" s="47">
        <f t="shared" si="11"/>
        <v>0</v>
      </c>
      <c r="F35" s="47">
        <f t="shared" si="11"/>
        <v>0</v>
      </c>
      <c r="G35" s="47">
        <f t="shared" si="11"/>
        <v>82</v>
      </c>
      <c r="H35" s="47">
        <f t="shared" si="11"/>
        <v>0</v>
      </c>
      <c r="I35" s="47">
        <f t="shared" si="11"/>
        <v>0</v>
      </c>
      <c r="J35" s="47">
        <f t="shared" si="11"/>
        <v>65</v>
      </c>
      <c r="K35" s="47">
        <f t="shared" si="11"/>
        <v>0</v>
      </c>
      <c r="L35" s="47">
        <f t="shared" si="11"/>
        <v>0</v>
      </c>
      <c r="M35" s="47">
        <f t="shared" si="11"/>
        <v>0</v>
      </c>
      <c r="N35" s="47">
        <f t="shared" si="11"/>
        <v>0</v>
      </c>
      <c r="O35" s="47">
        <f t="shared" si="11"/>
        <v>0</v>
      </c>
      <c r="P35" s="47">
        <f t="shared" si="11"/>
        <v>0</v>
      </c>
      <c r="Q35" s="47">
        <f t="shared" si="11"/>
        <v>107</v>
      </c>
      <c r="R35" s="47">
        <f t="shared" si="11"/>
        <v>0</v>
      </c>
      <c r="S35" s="47">
        <f t="shared" si="11"/>
        <v>0</v>
      </c>
      <c r="T35" s="47">
        <f t="shared" si="11"/>
        <v>0</v>
      </c>
      <c r="U35" s="47">
        <f t="shared" si="11"/>
        <v>50</v>
      </c>
      <c r="V35" s="52">
        <f t="shared" si="11"/>
        <v>0</v>
      </c>
      <c r="W35" s="52">
        <f t="shared" si="11"/>
        <v>0</v>
      </c>
      <c r="X35" s="52">
        <f t="shared" si="2"/>
        <v>319</v>
      </c>
    </row>
    <row r="36" spans="1:24">
      <c r="A36" s="52">
        <v>23</v>
      </c>
      <c r="B36" s="50">
        <v>10</v>
      </c>
      <c r="C36" s="50"/>
      <c r="D36" s="50"/>
      <c r="E36" s="50"/>
      <c r="F36" s="50"/>
      <c r="G36" s="50">
        <f>42+5</f>
        <v>47</v>
      </c>
      <c r="H36" s="50"/>
      <c r="I36" s="50"/>
      <c r="J36" s="50">
        <v>20</v>
      </c>
      <c r="K36" s="50"/>
      <c r="L36" s="50"/>
      <c r="M36" s="50"/>
      <c r="N36" s="50"/>
      <c r="O36" s="50"/>
      <c r="P36" s="50"/>
      <c r="Q36" s="50">
        <v>84</v>
      </c>
      <c r="R36" s="50"/>
      <c r="S36" s="50"/>
      <c r="T36" s="50"/>
      <c r="U36" s="50">
        <v>22</v>
      </c>
      <c r="V36" s="50"/>
      <c r="W36" s="50"/>
      <c r="X36" s="48">
        <f t="shared" si="2"/>
        <v>183</v>
      </c>
    </row>
    <row r="37" spans="1:24">
      <c r="A37" s="52">
        <v>24</v>
      </c>
      <c r="B37" s="50">
        <v>5</v>
      </c>
      <c r="C37" s="50"/>
      <c r="D37" s="50"/>
      <c r="E37" s="50"/>
      <c r="F37" s="50"/>
      <c r="G37" s="50">
        <f>30+5</f>
        <v>35</v>
      </c>
      <c r="H37" s="50"/>
      <c r="I37" s="50"/>
      <c r="J37" s="50">
        <v>45</v>
      </c>
      <c r="K37" s="50"/>
      <c r="L37" s="50"/>
      <c r="M37" s="50"/>
      <c r="N37" s="50"/>
      <c r="O37" s="50"/>
      <c r="P37" s="50"/>
      <c r="Q37" s="50">
        <v>23</v>
      </c>
      <c r="R37" s="50"/>
      <c r="S37" s="50"/>
      <c r="T37" s="50"/>
      <c r="U37" s="50">
        <v>28</v>
      </c>
      <c r="V37" s="50"/>
      <c r="W37" s="50"/>
      <c r="X37" s="48">
        <f t="shared" si="2"/>
        <v>136</v>
      </c>
    </row>
    <row r="38" spans="1:24">
      <c r="A38" s="47" t="s">
        <v>247</v>
      </c>
      <c r="B38" s="47">
        <f>B39+B40</f>
        <v>0</v>
      </c>
      <c r="C38" s="47">
        <f t="shared" ref="C38:W38" si="12">C39+C40</f>
        <v>200</v>
      </c>
      <c r="D38" s="47">
        <f t="shared" si="12"/>
        <v>0</v>
      </c>
      <c r="E38" s="47">
        <f t="shared" si="12"/>
        <v>0</v>
      </c>
      <c r="F38" s="47">
        <f t="shared" si="12"/>
        <v>84</v>
      </c>
      <c r="G38" s="47">
        <f t="shared" si="12"/>
        <v>0</v>
      </c>
      <c r="H38" s="47">
        <f t="shared" si="12"/>
        <v>0</v>
      </c>
      <c r="I38" s="47">
        <f t="shared" si="12"/>
        <v>0</v>
      </c>
      <c r="J38" s="47">
        <f t="shared" si="12"/>
        <v>0</v>
      </c>
      <c r="K38" s="47">
        <f t="shared" si="12"/>
        <v>0</v>
      </c>
      <c r="L38" s="47">
        <f t="shared" si="12"/>
        <v>0</v>
      </c>
      <c r="M38" s="47">
        <f t="shared" si="12"/>
        <v>0</v>
      </c>
      <c r="N38" s="47">
        <f t="shared" si="12"/>
        <v>2660</v>
      </c>
      <c r="O38" s="47">
        <f t="shared" si="12"/>
        <v>0</v>
      </c>
      <c r="P38" s="47">
        <f t="shared" si="12"/>
        <v>0</v>
      </c>
      <c r="Q38" s="47">
        <f t="shared" si="12"/>
        <v>0</v>
      </c>
      <c r="R38" s="47">
        <f t="shared" si="12"/>
        <v>0</v>
      </c>
      <c r="S38" s="47">
        <f t="shared" si="12"/>
        <v>0</v>
      </c>
      <c r="T38" s="47">
        <f t="shared" si="12"/>
        <v>0</v>
      </c>
      <c r="U38" s="47">
        <f t="shared" si="12"/>
        <v>40</v>
      </c>
      <c r="V38" s="52">
        <f t="shared" si="12"/>
        <v>0</v>
      </c>
      <c r="W38" s="52">
        <f t="shared" si="12"/>
        <v>0</v>
      </c>
      <c r="X38" s="52">
        <f t="shared" si="2"/>
        <v>2984</v>
      </c>
    </row>
    <row r="39" spans="1:24">
      <c r="A39" s="52">
        <v>25</v>
      </c>
      <c r="B39" s="50"/>
      <c r="C39" s="50">
        <v>195</v>
      </c>
      <c r="D39" s="50"/>
      <c r="E39" s="50"/>
      <c r="F39" s="50">
        <v>84</v>
      </c>
      <c r="G39" s="50"/>
      <c r="H39" s="50"/>
      <c r="I39" s="50"/>
      <c r="J39" s="50"/>
      <c r="K39" s="50"/>
      <c r="L39" s="50"/>
      <c r="M39" s="50"/>
      <c r="N39" s="50">
        <v>2640</v>
      </c>
      <c r="O39" s="50"/>
      <c r="P39" s="50"/>
      <c r="Q39" s="50"/>
      <c r="R39" s="50"/>
      <c r="S39" s="50"/>
      <c r="T39" s="50"/>
      <c r="U39" s="50">
        <v>40</v>
      </c>
      <c r="V39" s="50"/>
      <c r="W39" s="50"/>
      <c r="X39" s="48">
        <f t="shared" si="2"/>
        <v>2959</v>
      </c>
    </row>
    <row r="40" spans="1:24">
      <c r="A40" s="52">
        <v>26</v>
      </c>
      <c r="B40" s="50"/>
      <c r="C40" s="50">
        <v>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>
        <v>20</v>
      </c>
      <c r="O40" s="50"/>
      <c r="P40" s="50"/>
      <c r="Q40" s="50"/>
      <c r="R40" s="50"/>
      <c r="S40" s="50"/>
      <c r="T40" s="50"/>
      <c r="U40" s="50"/>
      <c r="V40" s="50"/>
      <c r="W40" s="50"/>
      <c r="X40" s="48">
        <f t="shared" si="2"/>
        <v>25</v>
      </c>
    </row>
    <row r="41" spans="1:24">
      <c r="A41" s="47" t="s">
        <v>248</v>
      </c>
      <c r="B41" s="47">
        <f>B42+B43+B44</f>
        <v>0</v>
      </c>
      <c r="C41" s="47">
        <f t="shared" ref="C41:W41" si="13">C42+C43+C44</f>
        <v>0</v>
      </c>
      <c r="D41" s="47">
        <f t="shared" si="13"/>
        <v>0</v>
      </c>
      <c r="E41" s="47">
        <f t="shared" si="13"/>
        <v>0</v>
      </c>
      <c r="F41" s="47">
        <f t="shared" si="13"/>
        <v>0</v>
      </c>
      <c r="G41" s="47">
        <f t="shared" si="13"/>
        <v>0</v>
      </c>
      <c r="H41" s="47">
        <f t="shared" si="13"/>
        <v>0</v>
      </c>
      <c r="I41" s="47">
        <f t="shared" si="13"/>
        <v>0</v>
      </c>
      <c r="J41" s="47">
        <f t="shared" si="13"/>
        <v>0</v>
      </c>
      <c r="K41" s="47">
        <f t="shared" si="13"/>
        <v>0</v>
      </c>
      <c r="L41" s="47">
        <f t="shared" si="13"/>
        <v>0</v>
      </c>
      <c r="M41" s="47">
        <f t="shared" si="13"/>
        <v>0</v>
      </c>
      <c r="N41" s="47">
        <f t="shared" si="13"/>
        <v>0</v>
      </c>
      <c r="O41" s="47">
        <f t="shared" si="13"/>
        <v>0</v>
      </c>
      <c r="P41" s="47">
        <f t="shared" si="13"/>
        <v>0</v>
      </c>
      <c r="Q41" s="47">
        <f t="shared" si="13"/>
        <v>0</v>
      </c>
      <c r="R41" s="47">
        <f t="shared" si="13"/>
        <v>0</v>
      </c>
      <c r="S41" s="47">
        <f t="shared" si="13"/>
        <v>0</v>
      </c>
      <c r="T41" s="47">
        <f t="shared" si="13"/>
        <v>0</v>
      </c>
      <c r="U41" s="47">
        <f t="shared" si="13"/>
        <v>38</v>
      </c>
      <c r="V41" s="52">
        <f t="shared" si="13"/>
        <v>0</v>
      </c>
      <c r="W41" s="52">
        <f t="shared" si="13"/>
        <v>0</v>
      </c>
      <c r="X41" s="52">
        <f t="shared" si="2"/>
        <v>38</v>
      </c>
    </row>
    <row r="42" spans="1:24">
      <c r="A42" s="52">
        <v>27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>
        <v>5</v>
      </c>
      <c r="V42" s="50"/>
      <c r="W42" s="50"/>
      <c r="X42" s="48">
        <f t="shared" si="2"/>
        <v>5</v>
      </c>
    </row>
    <row r="43" spans="1:24">
      <c r="A43" s="52">
        <v>28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>
        <v>33</v>
      </c>
      <c r="V43" s="50"/>
      <c r="W43" s="50"/>
      <c r="X43" s="48">
        <f t="shared" si="2"/>
        <v>33</v>
      </c>
    </row>
    <row r="44" spans="1:24">
      <c r="A44" s="49">
        <v>29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48">
        <f t="shared" si="2"/>
        <v>0</v>
      </c>
    </row>
    <row r="45" spans="1:24">
      <c r="A45" s="47" t="s">
        <v>249</v>
      </c>
      <c r="B45" s="47">
        <f>B46</f>
        <v>0</v>
      </c>
      <c r="C45" s="47">
        <f t="shared" ref="C45:W45" si="14">C46</f>
        <v>0</v>
      </c>
      <c r="D45" s="47">
        <f t="shared" si="14"/>
        <v>0</v>
      </c>
      <c r="E45" s="47">
        <f t="shared" si="14"/>
        <v>0</v>
      </c>
      <c r="F45" s="47">
        <f t="shared" si="14"/>
        <v>0</v>
      </c>
      <c r="G45" s="47">
        <f t="shared" si="14"/>
        <v>80</v>
      </c>
      <c r="H45" s="47">
        <f t="shared" si="14"/>
        <v>0</v>
      </c>
      <c r="I45" s="47">
        <f t="shared" si="14"/>
        <v>0</v>
      </c>
      <c r="J45" s="47">
        <f t="shared" si="14"/>
        <v>0</v>
      </c>
      <c r="K45" s="47">
        <f t="shared" si="14"/>
        <v>40</v>
      </c>
      <c r="L45" s="47">
        <f t="shared" si="14"/>
        <v>0</v>
      </c>
      <c r="M45" s="47">
        <f t="shared" si="14"/>
        <v>0</v>
      </c>
      <c r="N45" s="47">
        <f t="shared" si="14"/>
        <v>0</v>
      </c>
      <c r="O45" s="47">
        <f t="shared" si="14"/>
        <v>0</v>
      </c>
      <c r="P45" s="47">
        <f t="shared" si="14"/>
        <v>0</v>
      </c>
      <c r="Q45" s="47">
        <f t="shared" si="14"/>
        <v>200</v>
      </c>
      <c r="R45" s="47">
        <f t="shared" si="14"/>
        <v>0</v>
      </c>
      <c r="S45" s="47">
        <f t="shared" si="14"/>
        <v>0</v>
      </c>
      <c r="T45" s="47">
        <f t="shared" si="14"/>
        <v>0</v>
      </c>
      <c r="U45" s="47">
        <f t="shared" si="14"/>
        <v>0</v>
      </c>
      <c r="V45" s="52">
        <f t="shared" si="14"/>
        <v>40</v>
      </c>
      <c r="W45" s="52">
        <f t="shared" si="14"/>
        <v>0</v>
      </c>
      <c r="X45" s="52">
        <f t="shared" si="2"/>
        <v>360</v>
      </c>
    </row>
    <row r="46" spans="1:24">
      <c r="A46" s="53">
        <v>30</v>
      </c>
      <c r="B46" s="50"/>
      <c r="C46" s="50"/>
      <c r="D46" s="50"/>
      <c r="E46" s="50"/>
      <c r="F46" s="50"/>
      <c r="G46" s="50">
        <v>80</v>
      </c>
      <c r="H46" s="50"/>
      <c r="I46" s="50"/>
      <c r="J46" s="50"/>
      <c r="K46" s="50">
        <v>40</v>
      </c>
      <c r="L46" s="50"/>
      <c r="M46" s="50"/>
      <c r="N46" s="50"/>
      <c r="O46" s="50"/>
      <c r="P46" s="50"/>
      <c r="Q46" s="50">
        <v>200</v>
      </c>
      <c r="R46" s="50"/>
      <c r="S46" s="50"/>
      <c r="T46" s="50"/>
      <c r="U46" s="50"/>
      <c r="V46" s="50">
        <v>40</v>
      </c>
      <c r="W46" s="50"/>
      <c r="X46" s="48">
        <f t="shared" si="2"/>
        <v>360</v>
      </c>
    </row>
    <row r="47" spans="1:24" ht="30">
      <c r="A47" s="47" t="s">
        <v>250</v>
      </c>
      <c r="B47" s="47">
        <f>B48+B49+B50+B51+B52+B53+B54+B55+B56+B57</f>
        <v>742</v>
      </c>
      <c r="C47" s="47">
        <f t="shared" ref="C47:W47" si="15">C48+C49+C50+C51+C52+C53+C54+C55+C56+C57</f>
        <v>0</v>
      </c>
      <c r="D47" s="47">
        <f t="shared" si="15"/>
        <v>0</v>
      </c>
      <c r="E47" s="47">
        <f t="shared" si="15"/>
        <v>0</v>
      </c>
      <c r="F47" s="47">
        <f t="shared" si="15"/>
        <v>0</v>
      </c>
      <c r="G47" s="47">
        <f t="shared" si="15"/>
        <v>0</v>
      </c>
      <c r="H47" s="47">
        <f t="shared" si="15"/>
        <v>0</v>
      </c>
      <c r="I47" s="47">
        <f t="shared" si="15"/>
        <v>0</v>
      </c>
      <c r="J47" s="47">
        <f t="shared" si="15"/>
        <v>525</v>
      </c>
      <c r="K47" s="47">
        <f t="shared" si="15"/>
        <v>335</v>
      </c>
      <c r="L47" s="47">
        <f t="shared" si="15"/>
        <v>105</v>
      </c>
      <c r="M47" s="47">
        <f t="shared" si="15"/>
        <v>0</v>
      </c>
      <c r="N47" s="47">
        <f t="shared" si="15"/>
        <v>0</v>
      </c>
      <c r="O47" s="47">
        <f t="shared" si="15"/>
        <v>0</v>
      </c>
      <c r="P47" s="47">
        <f t="shared" si="15"/>
        <v>0</v>
      </c>
      <c r="Q47" s="47">
        <f t="shared" si="15"/>
        <v>267</v>
      </c>
      <c r="R47" s="47">
        <f t="shared" si="15"/>
        <v>0</v>
      </c>
      <c r="S47" s="47">
        <f t="shared" si="15"/>
        <v>0</v>
      </c>
      <c r="T47" s="47">
        <f t="shared" si="15"/>
        <v>2960</v>
      </c>
      <c r="U47" s="47">
        <f t="shared" si="15"/>
        <v>0</v>
      </c>
      <c r="V47" s="52">
        <f t="shared" si="15"/>
        <v>360</v>
      </c>
      <c r="W47" s="52">
        <f t="shared" si="15"/>
        <v>0</v>
      </c>
      <c r="X47" s="52">
        <f t="shared" si="2"/>
        <v>5294</v>
      </c>
    </row>
    <row r="48" spans="1:24">
      <c r="A48" s="52">
        <v>31</v>
      </c>
      <c r="B48" s="50">
        <v>271</v>
      </c>
      <c r="C48" s="50"/>
      <c r="D48" s="50"/>
      <c r="E48" s="50"/>
      <c r="F48" s="50"/>
      <c r="G48" s="50"/>
      <c r="H48" s="50"/>
      <c r="I48" s="50"/>
      <c r="J48" s="50">
        <v>180</v>
      </c>
      <c r="K48" s="50">
        <v>221</v>
      </c>
      <c r="L48" s="50">
        <v>60</v>
      </c>
      <c r="M48" s="50"/>
      <c r="N48" s="50"/>
      <c r="O48" s="50"/>
      <c r="P48" s="50"/>
      <c r="Q48" s="50">
        <v>31</v>
      </c>
      <c r="R48" s="50"/>
      <c r="S48" s="50"/>
      <c r="T48" s="50">
        <v>307</v>
      </c>
      <c r="U48" s="50"/>
      <c r="V48" s="50">
        <f>26+90</f>
        <v>116</v>
      </c>
      <c r="W48" s="50"/>
      <c r="X48" s="48">
        <f t="shared" si="2"/>
        <v>1186</v>
      </c>
    </row>
    <row r="49" spans="1:24">
      <c r="A49" s="52">
        <v>32</v>
      </c>
      <c r="B49" s="50">
        <v>95</v>
      </c>
      <c r="C49" s="50"/>
      <c r="D49" s="50"/>
      <c r="E49" s="50"/>
      <c r="F49" s="50"/>
      <c r="G49" s="50"/>
      <c r="H49" s="50"/>
      <c r="I49" s="50"/>
      <c r="J49" s="50">
        <v>30</v>
      </c>
      <c r="K49" s="50">
        <v>15</v>
      </c>
      <c r="L49" s="50">
        <v>40</v>
      </c>
      <c r="M49" s="50"/>
      <c r="N49" s="50"/>
      <c r="O49" s="50"/>
      <c r="P49" s="50"/>
      <c r="Q49" s="50">
        <v>38</v>
      </c>
      <c r="R49" s="50"/>
      <c r="S49" s="50"/>
      <c r="T49" s="50">
        <v>148</v>
      </c>
      <c r="U49" s="50"/>
      <c r="V49" s="50">
        <f>90-60</f>
        <v>30</v>
      </c>
      <c r="W49" s="50"/>
      <c r="X49" s="48">
        <f t="shared" si="2"/>
        <v>396</v>
      </c>
    </row>
    <row r="50" spans="1:24">
      <c r="A50" s="52">
        <v>33</v>
      </c>
      <c r="B50" s="50">
        <v>36</v>
      </c>
      <c r="C50" s="50"/>
      <c r="D50" s="50"/>
      <c r="E50" s="50"/>
      <c r="F50" s="50"/>
      <c r="G50" s="50"/>
      <c r="H50" s="50"/>
      <c r="I50" s="50"/>
      <c r="J50" s="50">
        <v>10</v>
      </c>
      <c r="K50" s="50">
        <v>1</v>
      </c>
      <c r="L50" s="50">
        <v>5</v>
      </c>
      <c r="M50" s="50"/>
      <c r="N50" s="50"/>
      <c r="O50" s="50"/>
      <c r="P50" s="50"/>
      <c r="Q50" s="50">
        <v>11</v>
      </c>
      <c r="R50" s="50"/>
      <c r="S50" s="50"/>
      <c r="T50" s="50">
        <v>55</v>
      </c>
      <c r="U50" s="50"/>
      <c r="V50" s="50">
        <v>4</v>
      </c>
      <c r="W50" s="50"/>
      <c r="X50" s="48">
        <f t="shared" si="2"/>
        <v>122</v>
      </c>
    </row>
    <row r="51" spans="1:24">
      <c r="A51" s="52">
        <v>34</v>
      </c>
      <c r="B51" s="50">
        <v>215</v>
      </c>
      <c r="C51" s="50"/>
      <c r="D51" s="50"/>
      <c r="E51" s="50"/>
      <c r="F51" s="50"/>
      <c r="G51" s="50"/>
      <c r="H51" s="50"/>
      <c r="I51" s="50"/>
      <c r="J51" s="50">
        <v>235</v>
      </c>
      <c r="K51" s="50">
        <v>88</v>
      </c>
      <c r="L51" s="50"/>
      <c r="M51" s="50"/>
      <c r="N51" s="50"/>
      <c r="O51" s="50"/>
      <c r="P51" s="50"/>
      <c r="Q51" s="50">
        <v>100</v>
      </c>
      <c r="R51" s="50"/>
      <c r="S51" s="50"/>
      <c r="T51" s="50">
        <v>528</v>
      </c>
      <c r="U51" s="50"/>
      <c r="V51" s="50">
        <f>35+75</f>
        <v>110</v>
      </c>
      <c r="W51" s="50"/>
      <c r="X51" s="48">
        <f t="shared" si="2"/>
        <v>1276</v>
      </c>
    </row>
    <row r="52" spans="1:24">
      <c r="A52" s="52">
        <v>35</v>
      </c>
      <c r="B52" s="50">
        <v>90</v>
      </c>
      <c r="C52" s="50"/>
      <c r="D52" s="50"/>
      <c r="E52" s="50"/>
      <c r="F52" s="50"/>
      <c r="G52" s="50"/>
      <c r="H52" s="50"/>
      <c r="I52" s="50"/>
      <c r="J52" s="50">
        <v>50</v>
      </c>
      <c r="K52" s="50">
        <v>10</v>
      </c>
      <c r="L52" s="50"/>
      <c r="M52" s="50"/>
      <c r="N52" s="50"/>
      <c r="O52" s="50"/>
      <c r="P52" s="50"/>
      <c r="Q52" s="50">
        <v>72</v>
      </c>
      <c r="R52" s="50"/>
      <c r="S52" s="50"/>
      <c r="T52" s="50">
        <v>266</v>
      </c>
      <c r="U52" s="50"/>
      <c r="V52" s="50">
        <f>157-113</f>
        <v>44</v>
      </c>
      <c r="W52" s="50"/>
      <c r="X52" s="48">
        <f t="shared" si="2"/>
        <v>532</v>
      </c>
    </row>
    <row r="53" spans="1:24">
      <c r="A53" s="52">
        <v>36</v>
      </c>
      <c r="B53" s="50">
        <v>35</v>
      </c>
      <c r="C53" s="50"/>
      <c r="D53" s="50"/>
      <c r="E53" s="50"/>
      <c r="F53" s="50"/>
      <c r="G53" s="50"/>
      <c r="H53" s="50"/>
      <c r="I53" s="50"/>
      <c r="J53" s="50">
        <v>20</v>
      </c>
      <c r="K53" s="50"/>
      <c r="L53" s="50"/>
      <c r="M53" s="50"/>
      <c r="N53" s="50"/>
      <c r="O53" s="50"/>
      <c r="P53" s="50"/>
      <c r="Q53" s="50">
        <v>15</v>
      </c>
      <c r="R53" s="50"/>
      <c r="S53" s="50"/>
      <c r="T53" s="50">
        <v>76</v>
      </c>
      <c r="U53" s="50"/>
      <c r="V53" s="50">
        <f>18-2</f>
        <v>16</v>
      </c>
      <c r="W53" s="50"/>
      <c r="X53" s="48">
        <f t="shared" si="2"/>
        <v>162</v>
      </c>
    </row>
    <row r="54" spans="1:24">
      <c r="A54" s="52">
        <v>37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>
        <v>460</v>
      </c>
      <c r="U54" s="50"/>
      <c r="V54" s="50">
        <v>10</v>
      </c>
      <c r="W54" s="50"/>
      <c r="X54" s="48">
        <f t="shared" si="2"/>
        <v>470</v>
      </c>
    </row>
    <row r="55" spans="1:24">
      <c r="A55" s="52">
        <v>38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>
        <f>10-5</f>
        <v>5</v>
      </c>
      <c r="U55" s="50"/>
      <c r="V55" s="50"/>
      <c r="W55" s="50"/>
      <c r="X55" s="48">
        <f t="shared" si="2"/>
        <v>5</v>
      </c>
    </row>
    <row r="56" spans="1:24">
      <c r="A56" s="52">
        <v>39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>
        <f>610+5</f>
        <v>615</v>
      </c>
      <c r="U56" s="50"/>
      <c r="V56" s="50">
        <v>10</v>
      </c>
      <c r="W56" s="50"/>
      <c r="X56" s="48">
        <f t="shared" si="2"/>
        <v>625</v>
      </c>
    </row>
    <row r="57" spans="1:24">
      <c r="A57" s="52">
        <v>40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>
        <v>500</v>
      </c>
      <c r="U57" s="50"/>
      <c r="V57" s="50">
        <f>10+10</f>
        <v>20</v>
      </c>
      <c r="W57" s="50"/>
      <c r="X57" s="48">
        <f t="shared" si="2"/>
        <v>520</v>
      </c>
    </row>
    <row r="58" spans="1:24">
      <c r="A58" s="47" t="s">
        <v>251</v>
      </c>
      <c r="B58" s="47">
        <f>B59+B60</f>
        <v>0</v>
      </c>
      <c r="C58" s="47">
        <f t="shared" ref="C58:W58" si="16">C59+C60</f>
        <v>0</v>
      </c>
      <c r="D58" s="47">
        <f t="shared" si="16"/>
        <v>0</v>
      </c>
      <c r="E58" s="47">
        <f t="shared" si="16"/>
        <v>0</v>
      </c>
      <c r="F58" s="47">
        <f t="shared" si="16"/>
        <v>0</v>
      </c>
      <c r="G58" s="47">
        <f t="shared" si="16"/>
        <v>0</v>
      </c>
      <c r="H58" s="47">
        <f t="shared" si="16"/>
        <v>0</v>
      </c>
      <c r="I58" s="47">
        <f t="shared" si="16"/>
        <v>0</v>
      </c>
      <c r="J58" s="47">
        <f t="shared" si="16"/>
        <v>0</v>
      </c>
      <c r="K58" s="47">
        <f t="shared" si="16"/>
        <v>0</v>
      </c>
      <c r="L58" s="47">
        <f t="shared" si="16"/>
        <v>0</v>
      </c>
      <c r="M58" s="47">
        <f t="shared" si="16"/>
        <v>0</v>
      </c>
      <c r="N58" s="47">
        <f t="shared" si="16"/>
        <v>0</v>
      </c>
      <c r="O58" s="47">
        <f t="shared" si="16"/>
        <v>0</v>
      </c>
      <c r="P58" s="47">
        <f t="shared" si="16"/>
        <v>0</v>
      </c>
      <c r="Q58" s="47">
        <f t="shared" si="16"/>
        <v>30</v>
      </c>
      <c r="R58" s="47">
        <f t="shared" si="16"/>
        <v>0</v>
      </c>
      <c r="S58" s="47">
        <f t="shared" si="16"/>
        <v>0</v>
      </c>
      <c r="T58" s="47">
        <f t="shared" si="16"/>
        <v>0</v>
      </c>
      <c r="U58" s="47">
        <f t="shared" si="16"/>
        <v>0</v>
      </c>
      <c r="V58" s="52">
        <f t="shared" si="16"/>
        <v>50</v>
      </c>
      <c r="W58" s="52">
        <f t="shared" si="16"/>
        <v>0</v>
      </c>
      <c r="X58" s="52">
        <f t="shared" si="2"/>
        <v>80</v>
      </c>
    </row>
    <row r="59" spans="1:24">
      <c r="A59" s="52">
        <v>41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>
        <v>20</v>
      </c>
      <c r="R59" s="50"/>
      <c r="S59" s="50"/>
      <c r="T59" s="50"/>
      <c r="U59" s="50"/>
      <c r="V59" s="50">
        <v>50</v>
      </c>
      <c r="W59" s="50"/>
      <c r="X59" s="48">
        <f t="shared" si="2"/>
        <v>70</v>
      </c>
    </row>
    <row r="60" spans="1:24">
      <c r="A60" s="52">
        <v>42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>
        <v>10</v>
      </c>
      <c r="R60" s="50"/>
      <c r="S60" s="50"/>
      <c r="T60" s="50"/>
      <c r="U60" s="50"/>
      <c r="V60" s="50"/>
      <c r="W60" s="50"/>
      <c r="X60" s="48">
        <f t="shared" si="2"/>
        <v>10</v>
      </c>
    </row>
    <row r="61" spans="1:24">
      <c r="A61" s="47" t="s">
        <v>252</v>
      </c>
      <c r="B61" s="47">
        <f t="shared" ref="B61:T61" si="17">SUM(B62:B66)</f>
        <v>195</v>
      </c>
      <c r="C61" s="47">
        <f t="shared" si="17"/>
        <v>0</v>
      </c>
      <c r="D61" s="47">
        <f t="shared" si="17"/>
        <v>15</v>
      </c>
      <c r="E61" s="47">
        <f t="shared" si="17"/>
        <v>0</v>
      </c>
      <c r="F61" s="47">
        <f t="shared" si="17"/>
        <v>0</v>
      </c>
      <c r="G61" s="47">
        <f t="shared" si="17"/>
        <v>94</v>
      </c>
      <c r="H61" s="47">
        <f t="shared" si="17"/>
        <v>177</v>
      </c>
      <c r="I61" s="47">
        <f t="shared" si="17"/>
        <v>200</v>
      </c>
      <c r="J61" s="47">
        <f t="shared" si="17"/>
        <v>200</v>
      </c>
      <c r="K61" s="47">
        <f t="shared" si="17"/>
        <v>129</v>
      </c>
      <c r="L61" s="47">
        <f t="shared" si="17"/>
        <v>25</v>
      </c>
      <c r="M61" s="47">
        <f t="shared" si="17"/>
        <v>0</v>
      </c>
      <c r="N61" s="47">
        <f t="shared" si="17"/>
        <v>0</v>
      </c>
      <c r="O61" s="47">
        <f t="shared" si="17"/>
        <v>0</v>
      </c>
      <c r="P61" s="47">
        <f t="shared" si="17"/>
        <v>0</v>
      </c>
      <c r="Q61" s="47">
        <f t="shared" si="17"/>
        <v>400</v>
      </c>
      <c r="R61" s="47">
        <f t="shared" si="17"/>
        <v>216</v>
      </c>
      <c r="S61" s="47">
        <f t="shared" si="17"/>
        <v>0</v>
      </c>
      <c r="T61" s="47">
        <f t="shared" si="17"/>
        <v>0</v>
      </c>
      <c r="U61" s="47">
        <f>SUM(U62:U66)</f>
        <v>60</v>
      </c>
      <c r="V61" s="47">
        <f t="shared" ref="V61:W61" si="18">SUM(V62:V66)</f>
        <v>50</v>
      </c>
      <c r="W61" s="47">
        <f t="shared" si="18"/>
        <v>0</v>
      </c>
      <c r="X61" s="52">
        <f t="shared" si="2"/>
        <v>1761</v>
      </c>
    </row>
    <row r="62" spans="1:24">
      <c r="A62" s="52">
        <v>43</v>
      </c>
      <c r="B62" s="50">
        <v>60</v>
      </c>
      <c r="C62" s="50"/>
      <c r="D62" s="50"/>
      <c r="E62" s="50"/>
      <c r="F62" s="50"/>
      <c r="G62" s="50">
        <v>17</v>
      </c>
      <c r="H62" s="50">
        <f>169-1-3-1</f>
        <v>164</v>
      </c>
      <c r="I62" s="50">
        <v>10</v>
      </c>
      <c r="J62" s="50">
        <v>55</v>
      </c>
      <c r="K62" s="50">
        <v>42</v>
      </c>
      <c r="L62" s="50">
        <v>10</v>
      </c>
      <c r="M62" s="50"/>
      <c r="N62" s="50"/>
      <c r="O62" s="50"/>
      <c r="P62" s="50"/>
      <c r="Q62" s="50">
        <v>70</v>
      </c>
      <c r="R62" s="50">
        <v>54</v>
      </c>
      <c r="S62" s="50"/>
      <c r="T62" s="50"/>
      <c r="U62" s="50">
        <v>55</v>
      </c>
      <c r="V62" s="50"/>
      <c r="W62" s="50"/>
      <c r="X62" s="48">
        <f t="shared" si="2"/>
        <v>537</v>
      </c>
    </row>
    <row r="63" spans="1:24">
      <c r="A63" s="52">
        <v>44</v>
      </c>
      <c r="B63" s="50">
        <v>35</v>
      </c>
      <c r="C63" s="50"/>
      <c r="D63" s="50">
        <v>15</v>
      </c>
      <c r="E63" s="50"/>
      <c r="F63" s="50"/>
      <c r="G63" s="50">
        <v>30</v>
      </c>
      <c r="H63" s="50">
        <f>1+1+1</f>
        <v>3</v>
      </c>
      <c r="I63" s="50"/>
      <c r="J63" s="50">
        <v>20</v>
      </c>
      <c r="K63" s="50">
        <v>57</v>
      </c>
      <c r="L63" s="50">
        <f>5+6</f>
        <v>11</v>
      </c>
      <c r="M63" s="50"/>
      <c r="N63" s="50"/>
      <c r="O63" s="50"/>
      <c r="P63" s="50"/>
      <c r="Q63" s="50">
        <v>30</v>
      </c>
      <c r="R63" s="50"/>
      <c r="S63" s="50"/>
      <c r="T63" s="50"/>
      <c r="U63" s="50">
        <v>0</v>
      </c>
      <c r="V63" s="50"/>
      <c r="W63" s="50"/>
      <c r="X63" s="48">
        <f t="shared" si="2"/>
        <v>201</v>
      </c>
    </row>
    <row r="64" spans="1:24">
      <c r="A64" s="52">
        <v>45</v>
      </c>
      <c r="B64" s="50"/>
      <c r="C64" s="50"/>
      <c r="D64" s="50"/>
      <c r="E64" s="50"/>
      <c r="F64" s="50"/>
      <c r="G64" s="50"/>
      <c r="H64" s="50">
        <f>1+1</f>
        <v>2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>
        <v>5</v>
      </c>
      <c r="V64" s="50"/>
      <c r="W64" s="50"/>
      <c r="X64" s="48">
        <f t="shared" si="2"/>
        <v>7</v>
      </c>
    </row>
    <row r="65" spans="1:24">
      <c r="A65" s="52">
        <v>46</v>
      </c>
      <c r="B65" s="50">
        <v>100</v>
      </c>
      <c r="C65" s="50"/>
      <c r="D65" s="50"/>
      <c r="E65" s="50"/>
      <c r="F65" s="50"/>
      <c r="G65" s="50">
        <v>47</v>
      </c>
      <c r="H65" s="50"/>
      <c r="I65" s="50">
        <v>190</v>
      </c>
      <c r="J65" s="50">
        <v>125</v>
      </c>
      <c r="K65" s="50">
        <v>30</v>
      </c>
      <c r="L65" s="50">
        <f>10-6</f>
        <v>4</v>
      </c>
      <c r="M65" s="50"/>
      <c r="N65" s="50"/>
      <c r="O65" s="50"/>
      <c r="P65" s="50"/>
      <c r="Q65" s="50">
        <v>300</v>
      </c>
      <c r="R65" s="50">
        <v>162</v>
      </c>
      <c r="S65" s="50"/>
      <c r="T65" s="50"/>
      <c r="U65" s="50"/>
      <c r="V65" s="50">
        <v>50</v>
      </c>
      <c r="W65" s="50"/>
      <c r="X65" s="48">
        <f t="shared" si="2"/>
        <v>1008</v>
      </c>
    </row>
    <row r="66" spans="1:24">
      <c r="A66" s="52">
        <v>47</v>
      </c>
      <c r="B66" s="50"/>
      <c r="C66" s="50"/>
      <c r="D66" s="50"/>
      <c r="E66" s="50"/>
      <c r="F66" s="50"/>
      <c r="G66" s="50"/>
      <c r="H66" s="50">
        <f>5+3</f>
        <v>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8">
        <f t="shared" si="2"/>
        <v>8</v>
      </c>
    </row>
    <row r="67" spans="1:24">
      <c r="A67" s="47" t="s">
        <v>253</v>
      </c>
      <c r="B67" s="47">
        <f>B68+B69</f>
        <v>30</v>
      </c>
      <c r="C67" s="47">
        <f t="shared" ref="C67:W67" si="19">C68+C69</f>
        <v>0</v>
      </c>
      <c r="D67" s="47">
        <f t="shared" si="19"/>
        <v>0</v>
      </c>
      <c r="E67" s="47">
        <f t="shared" si="19"/>
        <v>0</v>
      </c>
      <c r="F67" s="47">
        <f t="shared" si="19"/>
        <v>0</v>
      </c>
      <c r="G67" s="47">
        <f t="shared" si="19"/>
        <v>0</v>
      </c>
      <c r="H67" s="47">
        <f t="shared" si="19"/>
        <v>25</v>
      </c>
      <c r="I67" s="47">
        <f t="shared" si="19"/>
        <v>0</v>
      </c>
      <c r="J67" s="47">
        <f t="shared" si="19"/>
        <v>10</v>
      </c>
      <c r="K67" s="47">
        <f t="shared" si="19"/>
        <v>0</v>
      </c>
      <c r="L67" s="47">
        <f t="shared" si="19"/>
        <v>0</v>
      </c>
      <c r="M67" s="47">
        <f t="shared" si="19"/>
        <v>0</v>
      </c>
      <c r="N67" s="47">
        <f t="shared" si="19"/>
        <v>0</v>
      </c>
      <c r="O67" s="47">
        <f t="shared" si="19"/>
        <v>40</v>
      </c>
      <c r="P67" s="47">
        <f t="shared" si="19"/>
        <v>0</v>
      </c>
      <c r="Q67" s="47">
        <f t="shared" si="19"/>
        <v>117</v>
      </c>
      <c r="R67" s="47">
        <f t="shared" si="19"/>
        <v>0</v>
      </c>
      <c r="S67" s="47">
        <f t="shared" si="19"/>
        <v>0</v>
      </c>
      <c r="T67" s="47">
        <f t="shared" si="19"/>
        <v>0</v>
      </c>
      <c r="U67" s="47">
        <f t="shared" si="19"/>
        <v>120</v>
      </c>
      <c r="V67" s="52">
        <f t="shared" si="19"/>
        <v>121</v>
      </c>
      <c r="W67" s="52">
        <f t="shared" si="19"/>
        <v>18</v>
      </c>
      <c r="X67" s="52">
        <f t="shared" si="2"/>
        <v>481</v>
      </c>
    </row>
    <row r="68" spans="1:24">
      <c r="A68" s="52">
        <v>48</v>
      </c>
      <c r="B68" s="50">
        <v>30</v>
      </c>
      <c r="C68" s="50"/>
      <c r="D68" s="50"/>
      <c r="E68" s="50"/>
      <c r="F68" s="50"/>
      <c r="G68" s="50"/>
      <c r="H68" s="50">
        <v>25</v>
      </c>
      <c r="I68" s="50"/>
      <c r="J68" s="50">
        <v>10</v>
      </c>
      <c r="K68" s="50"/>
      <c r="L68" s="50"/>
      <c r="M68" s="50"/>
      <c r="N68" s="50"/>
      <c r="O68" s="50">
        <v>30</v>
      </c>
      <c r="P68" s="50"/>
      <c r="Q68" s="50">
        <v>107</v>
      </c>
      <c r="R68" s="50"/>
      <c r="S68" s="50"/>
      <c r="T68" s="50"/>
      <c r="U68" s="50">
        <v>120</v>
      </c>
      <c r="V68" s="50">
        <v>121</v>
      </c>
      <c r="W68" s="50">
        <v>18</v>
      </c>
      <c r="X68" s="48">
        <f t="shared" si="2"/>
        <v>461</v>
      </c>
    </row>
    <row r="69" spans="1:24">
      <c r="A69" s="52">
        <v>49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>
        <v>10</v>
      </c>
      <c r="P69" s="50"/>
      <c r="Q69" s="50">
        <v>10</v>
      </c>
      <c r="R69" s="50"/>
      <c r="S69" s="50"/>
      <c r="T69" s="50"/>
      <c r="U69" s="50"/>
      <c r="V69" s="50"/>
      <c r="W69" s="50"/>
      <c r="X69" s="48">
        <f t="shared" si="2"/>
        <v>20</v>
      </c>
    </row>
    <row r="70" spans="1:24" ht="30">
      <c r="A70" s="47" t="s">
        <v>254</v>
      </c>
      <c r="B70" s="47">
        <f>B71</f>
        <v>0</v>
      </c>
      <c r="C70" s="47">
        <f t="shared" ref="C70:W70" si="20">C71</f>
        <v>0</v>
      </c>
      <c r="D70" s="47">
        <f t="shared" si="20"/>
        <v>0</v>
      </c>
      <c r="E70" s="47">
        <f t="shared" si="20"/>
        <v>0</v>
      </c>
      <c r="F70" s="47">
        <f t="shared" si="20"/>
        <v>0</v>
      </c>
      <c r="G70" s="47">
        <f t="shared" si="20"/>
        <v>0</v>
      </c>
      <c r="H70" s="47">
        <f t="shared" si="20"/>
        <v>0</v>
      </c>
      <c r="I70" s="47">
        <f t="shared" si="20"/>
        <v>0</v>
      </c>
      <c r="J70" s="47">
        <f t="shared" si="20"/>
        <v>60</v>
      </c>
      <c r="K70" s="47">
        <f t="shared" si="20"/>
        <v>0</v>
      </c>
      <c r="L70" s="47">
        <f t="shared" si="20"/>
        <v>0</v>
      </c>
      <c r="M70" s="47">
        <f t="shared" si="20"/>
        <v>0</v>
      </c>
      <c r="N70" s="47">
        <f t="shared" si="20"/>
        <v>0</v>
      </c>
      <c r="O70" s="47">
        <f t="shared" si="20"/>
        <v>0</v>
      </c>
      <c r="P70" s="47">
        <f t="shared" si="20"/>
        <v>0</v>
      </c>
      <c r="Q70" s="47">
        <f t="shared" si="20"/>
        <v>0</v>
      </c>
      <c r="R70" s="47">
        <f t="shared" si="20"/>
        <v>0</v>
      </c>
      <c r="S70" s="47">
        <f t="shared" si="20"/>
        <v>0</v>
      </c>
      <c r="T70" s="47">
        <f t="shared" si="20"/>
        <v>0</v>
      </c>
      <c r="U70" s="47">
        <f t="shared" si="20"/>
        <v>37</v>
      </c>
      <c r="V70" s="52">
        <f t="shared" si="20"/>
        <v>0</v>
      </c>
      <c r="W70" s="52">
        <f t="shared" si="20"/>
        <v>0</v>
      </c>
      <c r="X70" s="52">
        <f t="shared" ref="X70:X75" si="21">B70+C70+D70+E70+F70+G70+H70+I70+J70+K70+L70+M70+N70+O70+P70+Q70+R70+S70+T70+U70+V70+W70</f>
        <v>97</v>
      </c>
    </row>
    <row r="71" spans="1:24">
      <c r="A71" s="52">
        <v>50</v>
      </c>
      <c r="B71" s="50"/>
      <c r="C71" s="50"/>
      <c r="D71" s="50"/>
      <c r="E71" s="50"/>
      <c r="F71" s="50"/>
      <c r="G71" s="50"/>
      <c r="H71" s="50"/>
      <c r="I71" s="50"/>
      <c r="J71" s="50">
        <v>60</v>
      </c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>
        <v>37</v>
      </c>
      <c r="V71" s="50"/>
      <c r="W71" s="50"/>
      <c r="X71" s="48">
        <f t="shared" si="21"/>
        <v>97</v>
      </c>
    </row>
    <row r="72" spans="1:24">
      <c r="A72" s="47" t="s">
        <v>255</v>
      </c>
      <c r="B72" s="47">
        <f>B73+B74</f>
        <v>0</v>
      </c>
      <c r="C72" s="47">
        <f t="shared" ref="C72:W72" si="22">C73+C74</f>
        <v>0</v>
      </c>
      <c r="D72" s="47">
        <f t="shared" si="22"/>
        <v>0</v>
      </c>
      <c r="E72" s="47">
        <f t="shared" si="22"/>
        <v>0</v>
      </c>
      <c r="F72" s="47">
        <f t="shared" si="22"/>
        <v>0</v>
      </c>
      <c r="G72" s="47">
        <f t="shared" si="22"/>
        <v>0</v>
      </c>
      <c r="H72" s="47">
        <f t="shared" si="22"/>
        <v>0</v>
      </c>
      <c r="I72" s="47">
        <f t="shared" si="22"/>
        <v>0</v>
      </c>
      <c r="J72" s="47">
        <f t="shared" si="22"/>
        <v>10</v>
      </c>
      <c r="K72" s="47">
        <f t="shared" si="22"/>
        <v>0</v>
      </c>
      <c r="L72" s="47">
        <f t="shared" si="22"/>
        <v>0</v>
      </c>
      <c r="M72" s="47">
        <f t="shared" si="22"/>
        <v>0</v>
      </c>
      <c r="N72" s="47">
        <f t="shared" si="22"/>
        <v>0</v>
      </c>
      <c r="O72" s="47">
        <f t="shared" si="22"/>
        <v>0</v>
      </c>
      <c r="P72" s="47">
        <f t="shared" si="22"/>
        <v>0</v>
      </c>
      <c r="Q72" s="47">
        <f t="shared" si="22"/>
        <v>10</v>
      </c>
      <c r="R72" s="47">
        <f t="shared" si="22"/>
        <v>0</v>
      </c>
      <c r="S72" s="47">
        <f t="shared" si="22"/>
        <v>0</v>
      </c>
      <c r="T72" s="47">
        <f t="shared" si="22"/>
        <v>0</v>
      </c>
      <c r="U72" s="47">
        <f t="shared" si="22"/>
        <v>22</v>
      </c>
      <c r="V72" s="52">
        <f t="shared" si="22"/>
        <v>40</v>
      </c>
      <c r="W72" s="52">
        <f t="shared" si="22"/>
        <v>0</v>
      </c>
      <c r="X72" s="52">
        <f t="shared" si="21"/>
        <v>82</v>
      </c>
    </row>
    <row r="73" spans="1:24">
      <c r="A73" s="52">
        <v>51</v>
      </c>
      <c r="B73" s="50"/>
      <c r="C73" s="50"/>
      <c r="D73" s="50"/>
      <c r="E73" s="50"/>
      <c r="F73" s="50"/>
      <c r="G73" s="50"/>
      <c r="H73" s="50"/>
      <c r="I73" s="50"/>
      <c r="J73" s="50">
        <v>10</v>
      </c>
      <c r="K73" s="50"/>
      <c r="L73" s="50"/>
      <c r="M73" s="50"/>
      <c r="N73" s="50"/>
      <c r="O73" s="50"/>
      <c r="P73" s="50"/>
      <c r="Q73" s="50">
        <v>10</v>
      </c>
      <c r="R73" s="50"/>
      <c r="S73" s="50"/>
      <c r="T73" s="50"/>
      <c r="U73" s="50">
        <v>22</v>
      </c>
      <c r="V73" s="50">
        <v>40</v>
      </c>
      <c r="W73" s="50"/>
      <c r="X73" s="48">
        <f t="shared" si="21"/>
        <v>82</v>
      </c>
    </row>
    <row r="74" spans="1:24">
      <c r="A74" s="52">
        <v>52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48">
        <f t="shared" si="21"/>
        <v>0</v>
      </c>
    </row>
    <row r="75" spans="1:24" s="56" customFormat="1">
      <c r="A75" s="54" t="s">
        <v>6</v>
      </c>
      <c r="B75" s="54">
        <f t="shared" ref="B75:W75" si="23">B72+B70+B67+B61+B58+B47+B45+B41+B38+B35+B31+B28+B21+B18+B16+B14+B11+B9+B6+B3</f>
        <v>1080</v>
      </c>
      <c r="C75" s="54">
        <f t="shared" si="23"/>
        <v>200</v>
      </c>
      <c r="D75" s="54">
        <f t="shared" si="23"/>
        <v>15</v>
      </c>
      <c r="E75" s="54">
        <f t="shared" si="23"/>
        <v>140</v>
      </c>
      <c r="F75" s="54">
        <f t="shared" si="23"/>
        <v>84</v>
      </c>
      <c r="G75" s="54">
        <f t="shared" si="23"/>
        <v>266</v>
      </c>
      <c r="H75" s="54">
        <f t="shared" si="23"/>
        <v>346</v>
      </c>
      <c r="I75" s="54">
        <f t="shared" si="23"/>
        <v>480</v>
      </c>
      <c r="J75" s="54">
        <f t="shared" si="23"/>
        <v>1168</v>
      </c>
      <c r="K75" s="54">
        <f t="shared" si="23"/>
        <v>674</v>
      </c>
      <c r="L75" s="54">
        <f t="shared" si="23"/>
        <v>130</v>
      </c>
      <c r="M75" s="54">
        <f t="shared" si="23"/>
        <v>660</v>
      </c>
      <c r="N75" s="54">
        <f t="shared" si="23"/>
        <v>2660</v>
      </c>
      <c r="O75" s="54">
        <f t="shared" si="23"/>
        <v>240</v>
      </c>
      <c r="P75" s="54">
        <f t="shared" si="23"/>
        <v>52</v>
      </c>
      <c r="Q75" s="54">
        <f t="shared" si="23"/>
        <v>2477</v>
      </c>
      <c r="R75" s="54">
        <f t="shared" si="23"/>
        <v>216</v>
      </c>
      <c r="S75" s="54">
        <f t="shared" si="23"/>
        <v>1020</v>
      </c>
      <c r="T75" s="54">
        <f t="shared" si="23"/>
        <v>2960</v>
      </c>
      <c r="U75" s="54">
        <f t="shared" si="23"/>
        <v>925</v>
      </c>
      <c r="V75" s="55">
        <f t="shared" si="23"/>
        <v>1390</v>
      </c>
      <c r="W75" s="55">
        <f t="shared" si="23"/>
        <v>18</v>
      </c>
      <c r="X75" s="55">
        <f t="shared" si="21"/>
        <v>17201</v>
      </c>
    </row>
  </sheetData>
  <mergeCells count="1">
    <mergeCell ref="A1:X1"/>
  </mergeCells>
  <pageMargins left="0" right="0" top="0.59055118110236227" bottom="0" header="0.31496062992125984" footer="0.31496062992125984"/>
  <pageSetup paperSize="8" scale="85" fitToHeight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6" sqref="G26"/>
    </sheetView>
  </sheetViews>
  <sheetFormatPr defaultRowHeight="15"/>
  <cols>
    <col min="1" max="1" width="4.5703125" style="26" customWidth="1"/>
    <col min="2" max="2" width="20.42578125" style="26" customWidth="1"/>
    <col min="3" max="6" width="9.140625" style="26"/>
    <col min="7" max="7" width="11" style="26" customWidth="1"/>
    <col min="8" max="8" width="10.7109375" style="26" customWidth="1"/>
    <col min="9" max="9" width="10.85546875" style="26" customWidth="1"/>
    <col min="10" max="12" width="11.5703125" style="26" customWidth="1"/>
    <col min="13" max="13" width="11.7109375" style="26" customWidth="1"/>
    <col min="14" max="14" width="11.140625" style="26" customWidth="1"/>
    <col min="15" max="15" width="11" style="26" customWidth="1"/>
    <col min="16" max="16" width="9.140625" style="26"/>
    <col min="17" max="17" width="10.85546875" style="26" customWidth="1"/>
    <col min="18" max="18" width="11.28515625" style="26" customWidth="1"/>
    <col min="19" max="19" width="9.140625" style="26"/>
    <col min="20" max="20" width="11" style="26" customWidth="1"/>
    <col min="21" max="21" width="13.140625" style="26" customWidth="1"/>
    <col min="22" max="16384" width="9.140625" style="26"/>
  </cols>
  <sheetData>
    <row r="1" spans="1:20" ht="33.75" customHeight="1">
      <c r="A1" s="97" t="s">
        <v>256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>
      <c r="T2" s="57" t="s">
        <v>257</v>
      </c>
    </row>
    <row r="3" spans="1:20" ht="62.25" customHeight="1">
      <c r="A3" s="98" t="s">
        <v>1</v>
      </c>
      <c r="B3" s="98" t="s">
        <v>2</v>
      </c>
      <c r="C3" s="99" t="s">
        <v>258</v>
      </c>
      <c r="D3" s="100" t="s">
        <v>259</v>
      </c>
      <c r="E3" s="101"/>
      <c r="F3" s="102"/>
      <c r="G3" s="103" t="s">
        <v>260</v>
      </c>
      <c r="H3" s="103"/>
      <c r="I3" s="103"/>
      <c r="J3" s="103"/>
      <c r="K3" s="73" t="s">
        <v>261</v>
      </c>
      <c r="L3" s="104" t="s">
        <v>262</v>
      </c>
      <c r="M3" s="105"/>
      <c r="N3" s="103" t="s">
        <v>263</v>
      </c>
      <c r="O3" s="103"/>
      <c r="P3" s="103"/>
      <c r="Q3" s="103" t="s">
        <v>264</v>
      </c>
      <c r="R3" s="103"/>
      <c r="S3" s="103"/>
      <c r="T3" s="103"/>
    </row>
    <row r="4" spans="1:20" ht="21" customHeight="1">
      <c r="A4" s="98"/>
      <c r="B4" s="98"/>
      <c r="C4" s="99"/>
      <c r="D4" s="106" t="s">
        <v>265</v>
      </c>
      <c r="E4" s="106" t="s">
        <v>266</v>
      </c>
      <c r="F4" s="106" t="s">
        <v>267</v>
      </c>
      <c r="G4" s="98" t="s">
        <v>268</v>
      </c>
      <c r="H4" s="98" t="s">
        <v>269</v>
      </c>
      <c r="I4" s="98" t="s">
        <v>270</v>
      </c>
      <c r="J4" s="98"/>
      <c r="K4" s="98" t="s">
        <v>269</v>
      </c>
      <c r="L4" s="98" t="s">
        <v>268</v>
      </c>
      <c r="M4" s="98" t="s">
        <v>269</v>
      </c>
      <c r="N4" s="98" t="s">
        <v>268</v>
      </c>
      <c r="O4" s="98" t="s">
        <v>271</v>
      </c>
      <c r="P4" s="98" t="s">
        <v>272</v>
      </c>
      <c r="Q4" s="98" t="s">
        <v>268</v>
      </c>
      <c r="R4" s="98" t="s">
        <v>269</v>
      </c>
      <c r="S4" s="98" t="s">
        <v>272</v>
      </c>
      <c r="T4" s="98" t="s">
        <v>273</v>
      </c>
    </row>
    <row r="5" spans="1:20" ht="52.5">
      <c r="A5" s="98"/>
      <c r="B5" s="98"/>
      <c r="C5" s="99"/>
      <c r="D5" s="107"/>
      <c r="E5" s="107"/>
      <c r="F5" s="107"/>
      <c r="G5" s="98"/>
      <c r="H5" s="98"/>
      <c r="I5" s="72" t="s">
        <v>274</v>
      </c>
      <c r="J5" s="72" t="s">
        <v>275</v>
      </c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8.75" customHeight="1">
      <c r="A6" s="58">
        <v>1</v>
      </c>
      <c r="B6" s="59" t="s">
        <v>276</v>
      </c>
      <c r="C6" s="35">
        <f>G6+H6+I6+J6+M6+N6+O6+P6+Q6+R6+S6+T6+K6+L6</f>
        <v>12733</v>
      </c>
      <c r="D6" s="35">
        <f t="shared" ref="D6:D16" si="0">G6+H6+I6+J6+K6</f>
        <v>1233</v>
      </c>
      <c r="E6" s="35">
        <f>M6+N6+O6+P6+L6</f>
        <v>1407</v>
      </c>
      <c r="F6" s="35">
        <f>Q6+R6+S6+T6</f>
        <v>10093</v>
      </c>
      <c r="G6" s="73"/>
      <c r="H6" s="73">
        <v>196</v>
      </c>
      <c r="I6" s="73">
        <v>40</v>
      </c>
      <c r="J6" s="73">
        <v>10</v>
      </c>
      <c r="K6" s="73">
        <f>335+123+84+445</f>
        <v>987</v>
      </c>
      <c r="L6" s="73"/>
      <c r="M6" s="73"/>
      <c r="N6" s="73"/>
      <c r="O6" s="35">
        <f>1404+3</f>
        <v>1407</v>
      </c>
      <c r="P6" s="73"/>
      <c r="Q6" s="73">
        <v>323</v>
      </c>
      <c r="R6" s="35">
        <f>6020+54</f>
        <v>6074</v>
      </c>
      <c r="S6" s="35">
        <v>3696</v>
      </c>
      <c r="T6" s="61"/>
    </row>
    <row r="7" spans="1:20" ht="15.75" customHeight="1">
      <c r="A7" s="58">
        <v>2</v>
      </c>
      <c r="B7" s="59" t="s">
        <v>277</v>
      </c>
      <c r="C7" s="35">
        <f t="shared" ref="C7:C16" si="1">G7+H7+I7+J7+M7+N7+O7+P7+Q7+R7+S7+T7+K7+L7</f>
        <v>10</v>
      </c>
      <c r="D7" s="35">
        <f t="shared" si="0"/>
        <v>10</v>
      </c>
      <c r="E7" s="35">
        <f t="shared" ref="E7:E16" si="2">M7+N7+O7+P7+L7</f>
        <v>0</v>
      </c>
      <c r="F7" s="35">
        <f t="shared" ref="F7:F16" si="3">Q7+R7+S7+T7</f>
        <v>0</v>
      </c>
      <c r="G7" s="73"/>
      <c r="H7" s="73"/>
      <c r="I7" s="73">
        <v>10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61"/>
    </row>
    <row r="8" spans="1:20">
      <c r="A8" s="58">
        <v>3</v>
      </c>
      <c r="B8" s="59" t="s">
        <v>213</v>
      </c>
      <c r="C8" s="35">
        <f t="shared" si="1"/>
        <v>60</v>
      </c>
      <c r="D8" s="35">
        <f t="shared" si="0"/>
        <v>60</v>
      </c>
      <c r="E8" s="35">
        <f t="shared" si="2"/>
        <v>0</v>
      </c>
      <c r="F8" s="35">
        <f t="shared" si="3"/>
        <v>0</v>
      </c>
      <c r="G8" s="73"/>
      <c r="H8" s="73"/>
      <c r="I8" s="73">
        <v>60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61"/>
    </row>
    <row r="9" spans="1:20" ht="15" customHeight="1">
      <c r="A9" s="58">
        <v>4</v>
      </c>
      <c r="B9" s="59" t="s">
        <v>278</v>
      </c>
      <c r="C9" s="35">
        <f t="shared" si="1"/>
        <v>2613</v>
      </c>
      <c r="D9" s="35">
        <f t="shared" si="0"/>
        <v>2</v>
      </c>
      <c r="E9" s="35">
        <f t="shared" si="2"/>
        <v>468</v>
      </c>
      <c r="F9" s="35">
        <f t="shared" si="3"/>
        <v>2143</v>
      </c>
      <c r="G9" s="73"/>
      <c r="H9" s="73">
        <v>2</v>
      </c>
      <c r="I9" s="73"/>
      <c r="J9" s="73"/>
      <c r="K9" s="73"/>
      <c r="L9" s="73"/>
      <c r="M9" s="73"/>
      <c r="N9" s="73"/>
      <c r="O9" s="73">
        <v>312</v>
      </c>
      <c r="P9" s="73">
        <v>156</v>
      </c>
      <c r="Q9" s="73">
        <f>288+15</f>
        <v>303</v>
      </c>
      <c r="R9" s="73">
        <f>416+12</f>
        <v>428</v>
      </c>
      <c r="S9" s="73">
        <f>211+28</f>
        <v>239</v>
      </c>
      <c r="T9" s="62">
        <f>1095+78</f>
        <v>1173</v>
      </c>
    </row>
    <row r="10" spans="1:20">
      <c r="A10" s="58">
        <v>5</v>
      </c>
      <c r="B10" s="59" t="s">
        <v>279</v>
      </c>
      <c r="C10" s="35">
        <f t="shared" si="1"/>
        <v>15</v>
      </c>
      <c r="D10" s="35">
        <f t="shared" si="0"/>
        <v>15</v>
      </c>
      <c r="E10" s="35">
        <f t="shared" si="2"/>
        <v>0</v>
      </c>
      <c r="F10" s="35">
        <f t="shared" si="3"/>
        <v>0</v>
      </c>
      <c r="G10" s="73"/>
      <c r="H10" s="73"/>
      <c r="I10" s="73">
        <v>10</v>
      </c>
      <c r="J10" s="73">
        <v>5</v>
      </c>
      <c r="K10" s="73"/>
      <c r="L10" s="73"/>
      <c r="M10" s="73"/>
      <c r="N10" s="73"/>
      <c r="O10" s="73"/>
      <c r="P10" s="73"/>
      <c r="Q10" s="73"/>
      <c r="R10" s="73"/>
      <c r="S10" s="73"/>
      <c r="T10" s="61"/>
    </row>
    <row r="11" spans="1:20" ht="23.25" customHeight="1">
      <c r="A11" s="58">
        <v>6</v>
      </c>
      <c r="B11" s="59" t="s">
        <v>280</v>
      </c>
      <c r="C11" s="35">
        <f t="shared" si="1"/>
        <v>79</v>
      </c>
      <c r="D11" s="35">
        <f t="shared" si="0"/>
        <v>79</v>
      </c>
      <c r="E11" s="35">
        <f t="shared" si="2"/>
        <v>0</v>
      </c>
      <c r="F11" s="35">
        <f t="shared" si="3"/>
        <v>0</v>
      </c>
      <c r="G11" s="73">
        <v>50</v>
      </c>
      <c r="H11" s="73">
        <f>29</f>
        <v>29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61"/>
    </row>
    <row r="12" spans="1:20" ht="23.25" customHeight="1">
      <c r="A12" s="58">
        <v>7</v>
      </c>
      <c r="B12" s="59" t="s">
        <v>281</v>
      </c>
      <c r="C12" s="35">
        <f t="shared" si="1"/>
        <v>86715</v>
      </c>
      <c r="D12" s="35">
        <f t="shared" si="0"/>
        <v>0</v>
      </c>
      <c r="E12" s="35">
        <f t="shared" si="2"/>
        <v>13476</v>
      </c>
      <c r="F12" s="35">
        <f t="shared" si="3"/>
        <v>73239</v>
      </c>
      <c r="G12" s="73"/>
      <c r="H12" s="73"/>
      <c r="I12" s="73"/>
      <c r="J12" s="73"/>
      <c r="K12" s="73"/>
      <c r="L12" s="73"/>
      <c r="M12" s="73">
        <f>628+24</f>
        <v>652</v>
      </c>
      <c r="N12" s="73">
        <v>331</v>
      </c>
      <c r="O12" s="35">
        <f>10956+909</f>
        <v>11865</v>
      </c>
      <c r="P12" s="73">
        <f>569+59</f>
        <v>628</v>
      </c>
      <c r="Q12" s="35">
        <v>2057</v>
      </c>
      <c r="R12" s="35">
        <f>67560-78+166</f>
        <v>67648</v>
      </c>
      <c r="S12" s="35">
        <f>3527+7</f>
        <v>3534</v>
      </c>
      <c r="T12" s="61"/>
    </row>
    <row r="13" spans="1:20" ht="12.75" customHeight="1">
      <c r="A13" s="58">
        <v>8</v>
      </c>
      <c r="B13" s="59" t="s">
        <v>282</v>
      </c>
      <c r="C13" s="35">
        <f t="shared" si="1"/>
        <v>35832</v>
      </c>
      <c r="D13" s="35">
        <f t="shared" si="0"/>
        <v>0</v>
      </c>
      <c r="E13" s="35">
        <f t="shared" si="2"/>
        <v>4499</v>
      </c>
      <c r="F13" s="35">
        <f t="shared" si="3"/>
        <v>31333</v>
      </c>
      <c r="G13" s="73"/>
      <c r="H13" s="73"/>
      <c r="I13" s="73"/>
      <c r="J13" s="73"/>
      <c r="K13" s="73"/>
      <c r="L13" s="73">
        <v>5</v>
      </c>
      <c r="M13" s="73">
        <f>84+3</f>
        <v>87</v>
      </c>
      <c r="N13" s="73">
        <f>300+33</f>
        <v>333</v>
      </c>
      <c r="O13" s="35">
        <f>3457+6</f>
        <v>3463</v>
      </c>
      <c r="P13" s="73">
        <v>611</v>
      </c>
      <c r="Q13" s="35">
        <f>2000+22</f>
        <v>2022</v>
      </c>
      <c r="R13" s="35">
        <f>25401-14+214</f>
        <v>25601</v>
      </c>
      <c r="S13" s="35">
        <f>3671+39</f>
        <v>3710</v>
      </c>
      <c r="T13" s="61"/>
    </row>
    <row r="14" spans="1:20" ht="17.25" customHeight="1">
      <c r="A14" s="58">
        <v>9</v>
      </c>
      <c r="B14" s="59" t="s">
        <v>156</v>
      </c>
      <c r="C14" s="35">
        <f t="shared" si="1"/>
        <v>12028</v>
      </c>
      <c r="D14" s="35">
        <f t="shared" si="0"/>
        <v>0</v>
      </c>
      <c r="E14" s="35">
        <f t="shared" si="2"/>
        <v>1327</v>
      </c>
      <c r="F14" s="35">
        <f t="shared" si="3"/>
        <v>10701</v>
      </c>
      <c r="G14" s="73"/>
      <c r="H14" s="73"/>
      <c r="I14" s="73"/>
      <c r="J14" s="73"/>
      <c r="K14" s="73"/>
      <c r="L14" s="73"/>
      <c r="M14" s="73"/>
      <c r="N14" s="73"/>
      <c r="O14" s="73">
        <f>848+52</f>
        <v>900</v>
      </c>
      <c r="P14" s="73">
        <f>400+27</f>
        <v>427</v>
      </c>
      <c r="Q14" s="73"/>
      <c r="R14" s="35">
        <f>6317-26+681</f>
        <v>6972</v>
      </c>
      <c r="S14" s="35">
        <f>3500+229</f>
        <v>3729</v>
      </c>
      <c r="T14" s="61"/>
    </row>
    <row r="15" spans="1:20" ht="16.5" customHeight="1">
      <c r="A15" s="58">
        <v>10</v>
      </c>
      <c r="B15" s="59" t="s">
        <v>283</v>
      </c>
      <c r="C15" s="35">
        <f t="shared" si="1"/>
        <v>17307</v>
      </c>
      <c r="D15" s="35">
        <f t="shared" si="0"/>
        <v>0</v>
      </c>
      <c r="E15" s="35">
        <f t="shared" si="2"/>
        <v>1573</v>
      </c>
      <c r="F15" s="35">
        <f t="shared" si="3"/>
        <v>15734</v>
      </c>
      <c r="G15" s="73"/>
      <c r="H15" s="73"/>
      <c r="I15" s="73"/>
      <c r="J15" s="73"/>
      <c r="K15" s="73"/>
      <c r="L15" s="73"/>
      <c r="M15" s="73"/>
      <c r="N15" s="73"/>
      <c r="O15" s="35">
        <f>1560+13</f>
        <v>1573</v>
      </c>
      <c r="P15" s="73"/>
      <c r="Q15" s="73"/>
      <c r="R15" s="35">
        <f>12600-20+2084</f>
        <v>14664</v>
      </c>
      <c r="S15" s="73">
        <f>936+134</f>
        <v>1070</v>
      </c>
      <c r="T15" s="61"/>
    </row>
    <row r="16" spans="1:20" ht="21" customHeight="1">
      <c r="A16" s="58"/>
      <c r="B16" s="59" t="s">
        <v>284</v>
      </c>
      <c r="C16" s="35">
        <f t="shared" si="1"/>
        <v>10731</v>
      </c>
      <c r="D16" s="35">
        <f t="shared" si="0"/>
        <v>0</v>
      </c>
      <c r="E16" s="35">
        <f t="shared" si="2"/>
        <v>10731</v>
      </c>
      <c r="F16" s="35">
        <f t="shared" si="3"/>
        <v>0</v>
      </c>
      <c r="G16" s="73"/>
      <c r="H16" s="73"/>
      <c r="I16" s="73"/>
      <c r="J16" s="73"/>
      <c r="K16" s="73"/>
      <c r="L16" s="73"/>
      <c r="M16" s="73"/>
      <c r="N16" s="35">
        <f>16048-5317</f>
        <v>10731</v>
      </c>
      <c r="O16" s="73"/>
      <c r="P16" s="73"/>
      <c r="Q16" s="73"/>
      <c r="R16" s="73"/>
      <c r="S16" s="73"/>
      <c r="T16" s="61"/>
    </row>
    <row r="17" spans="1:20">
      <c r="A17" s="63"/>
      <c r="B17" s="64" t="s">
        <v>258</v>
      </c>
      <c r="C17" s="60">
        <f>SUM(C6:C16)</f>
        <v>178123</v>
      </c>
      <c r="D17" s="35">
        <f t="shared" ref="D17:T17" si="4">SUM(D6:D16)</f>
        <v>1399</v>
      </c>
      <c r="E17" s="35">
        <f t="shared" si="4"/>
        <v>33481</v>
      </c>
      <c r="F17" s="35">
        <f t="shared" si="4"/>
        <v>143243</v>
      </c>
      <c r="G17" s="60">
        <f t="shared" si="4"/>
        <v>50</v>
      </c>
      <c r="H17" s="60">
        <f t="shared" si="4"/>
        <v>227</v>
      </c>
      <c r="I17" s="60">
        <f t="shared" si="4"/>
        <v>120</v>
      </c>
      <c r="J17" s="60">
        <f t="shared" si="4"/>
        <v>15</v>
      </c>
      <c r="K17" s="60">
        <f>SUM(K6:K16)</f>
        <v>987</v>
      </c>
      <c r="L17" s="60">
        <f>SUM(L6:L16)</f>
        <v>5</v>
      </c>
      <c r="M17" s="60">
        <f t="shared" si="4"/>
        <v>739</v>
      </c>
      <c r="N17" s="60">
        <f t="shared" si="4"/>
        <v>11395</v>
      </c>
      <c r="O17" s="60">
        <f t="shared" si="4"/>
        <v>19520</v>
      </c>
      <c r="P17" s="60">
        <f t="shared" si="4"/>
        <v>1822</v>
      </c>
      <c r="Q17" s="60">
        <f t="shared" si="4"/>
        <v>4705</v>
      </c>
      <c r="R17" s="60">
        <f t="shared" si="4"/>
        <v>121387</v>
      </c>
      <c r="S17" s="60">
        <f t="shared" si="4"/>
        <v>15978</v>
      </c>
      <c r="T17" s="60">
        <f t="shared" si="4"/>
        <v>1173</v>
      </c>
    </row>
  </sheetData>
  <mergeCells count="25">
    <mergeCell ref="S4:S5"/>
    <mergeCell ref="T4:T5"/>
    <mergeCell ref="M4:M5"/>
    <mergeCell ref="N4:N5"/>
    <mergeCell ref="O4:O5"/>
    <mergeCell ref="P4:P5"/>
    <mergeCell ref="Q4:Q5"/>
    <mergeCell ref="R4:R5"/>
    <mergeCell ref="G4:G5"/>
    <mergeCell ref="H4:H5"/>
    <mergeCell ref="I4:J4"/>
    <mergeCell ref="K4:K5"/>
    <mergeCell ref="L4:L5"/>
    <mergeCell ref="D4:D5"/>
    <mergeCell ref="E4:E5"/>
    <mergeCell ref="F4:F5"/>
    <mergeCell ref="A1:T1"/>
    <mergeCell ref="A3:A5"/>
    <mergeCell ref="B3:B5"/>
    <mergeCell ref="C3:C5"/>
    <mergeCell ref="D3:F3"/>
    <mergeCell ref="G3:J3"/>
    <mergeCell ref="L3:M3"/>
    <mergeCell ref="N3:P3"/>
    <mergeCell ref="Q3:T3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АПУ обращ.</vt:lpstr>
      <vt:lpstr>АПУ посещ.</vt:lpstr>
      <vt:lpstr>ВМП</vt:lpstr>
      <vt:lpstr>Гемодиализ</vt:lpstr>
      <vt:lpstr>'АПУ обращ.'!Заголовки_для_печати</vt:lpstr>
      <vt:lpstr>'АПУ посещ.'!Заголовки_для_печати</vt:lpstr>
      <vt:lpstr>ВМП!Заголовки_для_печати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Ocit_3</cp:lastModifiedBy>
  <dcterms:created xsi:type="dcterms:W3CDTF">2018-09-12T05:19:18Z</dcterms:created>
  <dcterms:modified xsi:type="dcterms:W3CDTF">2018-09-14T06:46:10Z</dcterms:modified>
</cp:coreProperties>
</file>