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 firstSheet="1" activeTab="5"/>
  </bookViews>
  <sheets>
    <sheet name="АПУ обращ. и неотлож." sheetId="8" r:id="rId1"/>
    <sheet name="АПУ посещ." sheetId="9" r:id="rId2"/>
    <sheet name="КС" sheetId="12" r:id="rId3"/>
    <sheet name="ДС" sheetId="11" r:id="rId4"/>
    <sheet name="ВМП (по профилям и группам)" sheetId="7" r:id="rId5"/>
    <sheet name="Гемодиализ" sheetId="14" r:id="rId6"/>
    <sheet name="ЛДУ" sheetId="13" r:id="rId7"/>
  </sheets>
  <externalReferences>
    <externalReference r:id="rId8"/>
    <externalReference r:id="rId9"/>
  </externalReferences>
  <definedNames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Print_Titles" localSheetId="0">'АПУ обращ. и неотлож.'!$3:$7</definedName>
    <definedName name="_xlnm.Print_Titles" localSheetId="1">'АПУ посещ.'!$3:$6</definedName>
    <definedName name="_xlnm.Print_Titles" localSheetId="4">'ВМП (по профилям и группам)'!$2:$2</definedName>
    <definedName name="_xlnm.Print_Titles" localSheetId="3">ДС!$6:$8</definedName>
    <definedName name="_xlnm.Print_Titles" localSheetId="2">КС!$4:$6</definedName>
  </definedNames>
  <calcPr calcId="124519"/>
</workbook>
</file>

<file path=xl/calcChain.xml><?xml version="1.0" encoding="utf-8"?>
<calcChain xmlns="http://schemas.openxmlformats.org/spreadsheetml/2006/main">
  <c r="P17" i="14"/>
  <c r="P18" s="1"/>
  <c r="O17"/>
  <c r="O18" s="1"/>
  <c r="M17"/>
  <c r="M18" s="1"/>
  <c r="L17"/>
  <c r="L18" s="1"/>
  <c r="K17"/>
  <c r="K18" s="1"/>
  <c r="J17"/>
  <c r="J18" s="1"/>
  <c r="I17"/>
  <c r="I18" s="1"/>
  <c r="H17"/>
  <c r="G17"/>
  <c r="G18" s="1"/>
  <c r="F17"/>
  <c r="F18" s="1"/>
  <c r="E17"/>
  <c r="E18" s="1"/>
  <c r="D17"/>
  <c r="D18" s="1"/>
  <c r="C16"/>
  <c r="N15"/>
  <c r="C15"/>
  <c r="N14"/>
  <c r="C14"/>
  <c r="N13"/>
  <c r="C13"/>
  <c r="N12"/>
  <c r="N17" s="1"/>
  <c r="N18" s="1"/>
  <c r="C12"/>
  <c r="C11"/>
  <c r="C10"/>
  <c r="C9"/>
  <c r="C8"/>
  <c r="C7"/>
  <c r="C6"/>
  <c r="C17" s="1"/>
  <c r="C18" s="1"/>
  <c r="O50" i="13"/>
  <c r="N50"/>
  <c r="L50"/>
  <c r="K50"/>
  <c r="I50"/>
  <c r="H50"/>
  <c r="E50"/>
  <c r="D50"/>
  <c r="P49"/>
  <c r="M48"/>
  <c r="F48"/>
  <c r="P48" s="1"/>
  <c r="G47"/>
  <c r="J47" s="1"/>
  <c r="F47"/>
  <c r="F46"/>
  <c r="P46" s="1"/>
  <c r="G45"/>
  <c r="J45" s="1"/>
  <c r="P45" s="1"/>
  <c r="J44"/>
  <c r="F44"/>
  <c r="P44" s="1"/>
  <c r="M43"/>
  <c r="F43"/>
  <c r="P43" s="1"/>
  <c r="M42"/>
  <c r="J42"/>
  <c r="F42"/>
  <c r="M41"/>
  <c r="M50" s="1"/>
  <c r="J41"/>
  <c r="F41"/>
  <c r="P41" s="1"/>
  <c r="J40"/>
  <c r="P40" s="1"/>
  <c r="J39"/>
  <c r="F39"/>
  <c r="J38"/>
  <c r="P38" s="1"/>
  <c r="J37"/>
  <c r="P37" s="1"/>
  <c r="G36"/>
  <c r="J36" s="1"/>
  <c r="P36" s="1"/>
  <c r="G35"/>
  <c r="G50" s="1"/>
  <c r="F35"/>
  <c r="F34"/>
  <c r="P34" s="1"/>
  <c r="F33"/>
  <c r="P33" s="1"/>
  <c r="J32"/>
  <c r="F32"/>
  <c r="C31"/>
  <c r="F31" s="1"/>
  <c r="P31" s="1"/>
  <c r="F30"/>
  <c r="P30" s="1"/>
  <c r="F29"/>
  <c r="P29" s="1"/>
  <c r="F28"/>
  <c r="P28" s="1"/>
  <c r="F27"/>
  <c r="P27" s="1"/>
  <c r="F26"/>
  <c r="P26" s="1"/>
  <c r="F25"/>
  <c r="P25" s="1"/>
  <c r="F24"/>
  <c r="P24" s="1"/>
  <c r="F23"/>
  <c r="P23" s="1"/>
  <c r="F22"/>
  <c r="P22" s="1"/>
  <c r="F21"/>
  <c r="P21" s="1"/>
  <c r="C20"/>
  <c r="F20" s="1"/>
  <c r="P20" s="1"/>
  <c r="C19"/>
  <c r="F19" s="1"/>
  <c r="P19" s="1"/>
  <c r="F18"/>
  <c r="P18" s="1"/>
  <c r="F17"/>
  <c r="P17" s="1"/>
  <c r="J16"/>
  <c r="F16"/>
  <c r="P15"/>
  <c r="J15"/>
  <c r="P14"/>
  <c r="F14"/>
  <c r="P13"/>
  <c r="F13"/>
  <c r="P12"/>
  <c r="F12"/>
  <c r="P11"/>
  <c r="F11"/>
  <c r="P10"/>
  <c r="F10"/>
  <c r="P9"/>
  <c r="F9"/>
  <c r="P8"/>
  <c r="F8"/>
  <c r="P7"/>
  <c r="F7"/>
  <c r="C6"/>
  <c r="C50" s="1"/>
  <c r="F5"/>
  <c r="P5" s="1"/>
  <c r="P16" l="1"/>
  <c r="P32"/>
  <c r="J35"/>
  <c r="P35" s="1"/>
  <c r="P39"/>
  <c r="P42"/>
  <c r="P47"/>
  <c r="F6"/>
  <c r="P6" s="1"/>
  <c r="J50" l="1"/>
  <c r="P50"/>
  <c r="F50"/>
  <c r="G112" i="12" l="1"/>
  <c r="F112"/>
  <c r="C111"/>
  <c r="C110"/>
  <c r="C109"/>
  <c r="C108"/>
  <c r="C107"/>
  <c r="E106"/>
  <c r="D106"/>
  <c r="E105"/>
  <c r="D105"/>
  <c r="C105"/>
  <c r="E104"/>
  <c r="C104"/>
  <c r="E103"/>
  <c r="D103"/>
  <c r="C103" s="1"/>
  <c r="C102"/>
  <c r="C101"/>
  <c r="E100"/>
  <c r="C100" s="1"/>
  <c r="C99"/>
  <c r="C98"/>
  <c r="C97"/>
  <c r="C96"/>
  <c r="C95"/>
  <c r="C94"/>
  <c r="C93"/>
  <c r="E92"/>
  <c r="C92"/>
  <c r="E91"/>
  <c r="C91"/>
  <c r="C90"/>
  <c r="C89"/>
  <c r="C88"/>
  <c r="C87"/>
  <c r="C86"/>
  <c r="C85"/>
  <c r="C84"/>
  <c r="C83"/>
  <c r="C82"/>
  <c r="C81"/>
  <c r="C80"/>
  <c r="C79"/>
  <c r="C78"/>
  <c r="C77"/>
  <c r="C76"/>
  <c r="C75"/>
  <c r="E74"/>
  <c r="D74"/>
  <c r="C74" s="1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E52"/>
  <c r="C52" s="1"/>
  <c r="E51"/>
  <c r="C51" s="1"/>
  <c r="C50"/>
  <c r="E49"/>
  <c r="C49" s="1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E13"/>
  <c r="E112" s="1"/>
  <c r="C13"/>
  <c r="C12"/>
  <c r="C11"/>
  <c r="C10"/>
  <c r="C9"/>
  <c r="C8"/>
  <c r="C7"/>
  <c r="C106" l="1"/>
  <c r="C112"/>
  <c r="D112"/>
  <c r="D137" i="11" l="1"/>
  <c r="C137" s="1"/>
  <c r="C136"/>
  <c r="C135"/>
  <c r="F133"/>
  <c r="C133" s="1"/>
  <c r="C132"/>
  <c r="C131"/>
  <c r="C130"/>
  <c r="C129"/>
  <c r="C128"/>
  <c r="C127"/>
  <c r="E126"/>
  <c r="E138" s="1"/>
  <c r="D126"/>
  <c r="C126"/>
  <c r="C125"/>
  <c r="C124"/>
  <c r="D123"/>
  <c r="C123"/>
  <c r="C122"/>
  <c r="C121"/>
  <c r="C120"/>
  <c r="D119"/>
  <c r="C119" s="1"/>
  <c r="C118"/>
  <c r="C117"/>
  <c r="C116"/>
  <c r="C115"/>
  <c r="D114"/>
  <c r="C114" s="1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D56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138" l="1"/>
  <c r="D138"/>
  <c r="F138"/>
  <c r="P167" i="9" l="1"/>
  <c r="I167"/>
  <c r="H167"/>
  <c r="G167"/>
  <c r="F167"/>
  <c r="E167"/>
  <c r="D167"/>
  <c r="J165"/>
  <c r="C165"/>
  <c r="C164"/>
  <c r="J163"/>
  <c r="C163" s="1"/>
  <c r="J162"/>
  <c r="C162" s="1"/>
  <c r="J161"/>
  <c r="C161" s="1"/>
  <c r="J160"/>
  <c r="C160" s="1"/>
  <c r="C159"/>
  <c r="M158"/>
  <c r="J158"/>
  <c r="C158" s="1"/>
  <c r="M157"/>
  <c r="J157"/>
  <c r="J156"/>
  <c r="C156" s="1"/>
  <c r="J155"/>
  <c r="C155" s="1"/>
  <c r="J154"/>
  <c r="C154" s="1"/>
  <c r="J153"/>
  <c r="C153" s="1"/>
  <c r="J152"/>
  <c r="C152" s="1"/>
  <c r="M151"/>
  <c r="M167" s="1"/>
  <c r="J151"/>
  <c r="C151"/>
  <c r="J150"/>
  <c r="C150"/>
  <c r="J149"/>
  <c r="C149"/>
  <c r="J148"/>
  <c r="C148"/>
  <c r="N147"/>
  <c r="C147"/>
  <c r="J146"/>
  <c r="C146"/>
  <c r="J145"/>
  <c r="C145"/>
  <c r="J144"/>
  <c r="C144"/>
  <c r="J143"/>
  <c r="C143"/>
  <c r="J142"/>
  <c r="C142"/>
  <c r="J141"/>
  <c r="C141"/>
  <c r="J140"/>
  <c r="C140"/>
  <c r="J139"/>
  <c r="C139"/>
  <c r="L138"/>
  <c r="K138"/>
  <c r="J138" s="1"/>
  <c r="C138" s="1"/>
  <c r="J137"/>
  <c r="C137"/>
  <c r="J136"/>
  <c r="C136"/>
  <c r="J135"/>
  <c r="C135"/>
  <c r="J134"/>
  <c r="C134"/>
  <c r="J133"/>
  <c r="C133"/>
  <c r="J132"/>
  <c r="C132"/>
  <c r="J131"/>
  <c r="C131"/>
  <c r="J130"/>
  <c r="C130"/>
  <c r="J129"/>
  <c r="C129"/>
  <c r="J128"/>
  <c r="C128"/>
  <c r="J127"/>
  <c r="C127"/>
  <c r="J126"/>
  <c r="C126"/>
  <c r="J125"/>
  <c r="C125"/>
  <c r="J124"/>
  <c r="C124"/>
  <c r="L123"/>
  <c r="L167" s="1"/>
  <c r="K123"/>
  <c r="K167" s="1"/>
  <c r="J122"/>
  <c r="C122"/>
  <c r="J121"/>
  <c r="C121"/>
  <c r="J120"/>
  <c r="C120"/>
  <c r="J119"/>
  <c r="C119"/>
  <c r="J118"/>
  <c r="C118"/>
  <c r="J117"/>
  <c r="C117"/>
  <c r="J116"/>
  <c r="C116"/>
  <c r="J115"/>
  <c r="C115"/>
  <c r="J114"/>
  <c r="C114"/>
  <c r="J113"/>
  <c r="C113"/>
  <c r="J112"/>
  <c r="C112"/>
  <c r="J111"/>
  <c r="C111"/>
  <c r="J110"/>
  <c r="C110"/>
  <c r="J109"/>
  <c r="C109"/>
  <c r="J108"/>
  <c r="C108"/>
  <c r="J107"/>
  <c r="C107"/>
  <c r="J106"/>
  <c r="C106"/>
  <c r="J105"/>
  <c r="C105"/>
  <c r="J104"/>
  <c r="C104"/>
  <c r="J103"/>
  <c r="C103"/>
  <c r="J102"/>
  <c r="C102"/>
  <c r="J101"/>
  <c r="C101"/>
  <c r="J100"/>
  <c r="C100"/>
  <c r="J99"/>
  <c r="C99"/>
  <c r="J98"/>
  <c r="C98"/>
  <c r="J97"/>
  <c r="C97"/>
  <c r="J96"/>
  <c r="C96"/>
  <c r="J95"/>
  <c r="C95"/>
  <c r="J94"/>
  <c r="C94"/>
  <c r="J93"/>
  <c r="C93"/>
  <c r="J92"/>
  <c r="C92"/>
  <c r="J91"/>
  <c r="C91"/>
  <c r="J90"/>
  <c r="C90"/>
  <c r="J89"/>
  <c r="C89"/>
  <c r="J88"/>
  <c r="C88"/>
  <c r="J87"/>
  <c r="C87"/>
  <c r="C86"/>
  <c r="J85"/>
  <c r="C85" s="1"/>
  <c r="J84"/>
  <c r="C84" s="1"/>
  <c r="J83"/>
  <c r="C83" s="1"/>
  <c r="J82"/>
  <c r="C82" s="1"/>
  <c r="J81"/>
  <c r="C81" s="1"/>
  <c r="J80"/>
  <c r="C80" s="1"/>
  <c r="J79"/>
  <c r="C79" s="1"/>
  <c r="J78"/>
  <c r="C78" s="1"/>
  <c r="C77"/>
  <c r="C76"/>
  <c r="C75"/>
  <c r="O74"/>
  <c r="J74"/>
  <c r="C74" s="1"/>
  <c r="J73"/>
  <c r="C73" s="1"/>
  <c r="J72"/>
  <c r="C72" s="1"/>
  <c r="J71"/>
  <c r="C71" s="1"/>
  <c r="J70"/>
  <c r="C70" s="1"/>
  <c r="J69"/>
  <c r="C69" s="1"/>
  <c r="J68"/>
  <c r="C68" s="1"/>
  <c r="J67"/>
  <c r="C67" s="1"/>
  <c r="J66"/>
  <c r="C66" s="1"/>
  <c r="J65"/>
  <c r="C65" s="1"/>
  <c r="C64"/>
  <c r="C63"/>
  <c r="C62"/>
  <c r="J61"/>
  <c r="C61"/>
  <c r="J60"/>
  <c r="C60"/>
  <c r="J59"/>
  <c r="C59"/>
  <c r="J58"/>
  <c r="C58"/>
  <c r="J57"/>
  <c r="C57"/>
  <c r="J56"/>
  <c r="C56"/>
  <c r="J55"/>
  <c r="C55"/>
  <c r="J54"/>
  <c r="C54"/>
  <c r="C53"/>
  <c r="J52"/>
  <c r="C52" s="1"/>
  <c r="J51"/>
  <c r="C51" s="1"/>
  <c r="J50"/>
  <c r="C50" s="1"/>
  <c r="J49"/>
  <c r="C49" s="1"/>
  <c r="J48"/>
  <c r="C48" s="1"/>
  <c r="J47"/>
  <c r="C47" s="1"/>
  <c r="J46"/>
  <c r="C46" s="1"/>
  <c r="J45"/>
  <c r="C45" s="1"/>
  <c r="N44"/>
  <c r="J44"/>
  <c r="C44"/>
  <c r="N43"/>
  <c r="J43"/>
  <c r="C43" s="1"/>
  <c r="J42"/>
  <c r="C42" s="1"/>
  <c r="J41"/>
  <c r="C41" s="1"/>
  <c r="J40"/>
  <c r="C40" s="1"/>
  <c r="J39"/>
  <c r="C39" s="1"/>
  <c r="J38"/>
  <c r="C38" s="1"/>
  <c r="J37"/>
  <c r="C37" s="1"/>
  <c r="C36"/>
  <c r="J35"/>
  <c r="C35" s="1"/>
  <c r="J34"/>
  <c r="C34" s="1"/>
  <c r="J33"/>
  <c r="C33" s="1"/>
  <c r="O32"/>
  <c r="O167" s="1"/>
  <c r="J32"/>
  <c r="J31"/>
  <c r="C31" s="1"/>
  <c r="C30"/>
  <c r="C29"/>
  <c r="J28"/>
  <c r="C28" s="1"/>
  <c r="J27"/>
  <c r="C27" s="1"/>
  <c r="J26"/>
  <c r="C26" s="1"/>
  <c r="J25"/>
  <c r="C25" s="1"/>
  <c r="J24"/>
  <c r="C24" s="1"/>
  <c r="J23"/>
  <c r="C23" s="1"/>
  <c r="J22"/>
  <c r="C22" s="1"/>
  <c r="J21"/>
  <c r="C21" s="1"/>
  <c r="J20"/>
  <c r="C20" s="1"/>
  <c r="C19"/>
  <c r="C18"/>
  <c r="J17"/>
  <c r="C17" s="1"/>
  <c r="J16"/>
  <c r="C16" s="1"/>
  <c r="J15"/>
  <c r="C15" s="1"/>
  <c r="J14"/>
  <c r="C14" s="1"/>
  <c r="J13"/>
  <c r="C13" s="1"/>
  <c r="J12"/>
  <c r="C12" s="1"/>
  <c r="J11"/>
  <c r="C11" s="1"/>
  <c r="J10"/>
  <c r="C10" s="1"/>
  <c r="J9"/>
  <c r="C9" s="1"/>
  <c r="J8"/>
  <c r="C8" s="1"/>
  <c r="J7"/>
  <c r="C7" s="1"/>
  <c r="C32" l="1"/>
  <c r="N167"/>
  <c r="C157"/>
  <c r="J123"/>
  <c r="C123" s="1"/>
  <c r="C167" s="1"/>
  <c r="J167" l="1"/>
  <c r="J179" i="8" l="1"/>
  <c r="I179"/>
  <c r="G179"/>
  <c r="E177"/>
  <c r="E176"/>
  <c r="E175"/>
  <c r="E174"/>
  <c r="E173"/>
  <c r="D173"/>
  <c r="D179" s="1"/>
  <c r="C173"/>
  <c r="E172"/>
  <c r="E171"/>
  <c r="E170"/>
  <c r="E169"/>
  <c r="E168"/>
  <c r="H167"/>
  <c r="E167"/>
  <c r="E166"/>
  <c r="E165"/>
  <c r="E164"/>
  <c r="E163"/>
  <c r="E162"/>
  <c r="E161"/>
  <c r="H160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F86"/>
  <c r="E86" s="1"/>
  <c r="E85"/>
  <c r="E84"/>
  <c r="E83"/>
  <c r="E82"/>
  <c r="E81"/>
  <c r="E80"/>
  <c r="E79"/>
  <c r="F78"/>
  <c r="E78" s="1"/>
  <c r="C78"/>
  <c r="C179" s="1"/>
  <c r="E77"/>
  <c r="E76"/>
  <c r="E75"/>
  <c r="E74"/>
  <c r="E73"/>
  <c r="E72"/>
  <c r="E71"/>
  <c r="E70"/>
  <c r="F69"/>
  <c r="E69" s="1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H48"/>
  <c r="E48" s="1"/>
  <c r="E47"/>
  <c r="E46"/>
  <c r="H45"/>
  <c r="E45" s="1"/>
  <c r="E44"/>
  <c r="E43"/>
  <c r="E42"/>
  <c r="E41"/>
  <c r="E40"/>
  <c r="E39"/>
  <c r="E38"/>
  <c r="E37"/>
  <c r="E36"/>
  <c r="E35"/>
  <c r="F34"/>
  <c r="F179" s="1"/>
  <c r="E33"/>
  <c r="E32"/>
  <c r="E31"/>
  <c r="E30"/>
  <c r="E29"/>
  <c r="E28"/>
  <c r="H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H179" l="1"/>
  <c r="E27"/>
  <c r="E34"/>
  <c r="E179" s="1"/>
  <c r="W74" i="7" l="1"/>
  <c r="W73"/>
  <c r="Y73" s="1"/>
  <c r="Y72" s="1"/>
  <c r="AB72"/>
  <c r="AA72"/>
  <c r="Z72"/>
  <c r="X72"/>
  <c r="X75" s="1"/>
  <c r="W72"/>
  <c r="V72"/>
  <c r="V75" s="1"/>
  <c r="U72"/>
  <c r="U75" s="1"/>
  <c r="T72"/>
  <c r="T75" s="1"/>
  <c r="S72"/>
  <c r="S75" s="1"/>
  <c r="R72"/>
  <c r="R75" s="1"/>
  <c r="Q72"/>
  <c r="Q75" s="1"/>
  <c r="P72"/>
  <c r="P75" s="1"/>
  <c r="O72"/>
  <c r="O75" s="1"/>
  <c r="N72"/>
  <c r="N75" s="1"/>
  <c r="M72"/>
  <c r="M75" s="1"/>
  <c r="L72"/>
  <c r="L75" s="1"/>
  <c r="K72"/>
  <c r="K75" s="1"/>
  <c r="J72"/>
  <c r="J75" s="1"/>
  <c r="I72"/>
  <c r="I75" s="1"/>
  <c r="H72"/>
  <c r="H75" s="1"/>
  <c r="G72"/>
  <c r="G75" s="1"/>
  <c r="F72"/>
  <c r="F75" s="1"/>
  <c r="E72"/>
  <c r="E75" s="1"/>
  <c r="D72"/>
  <c r="D75" s="1"/>
  <c r="C72"/>
  <c r="C75" s="1"/>
  <c r="B72"/>
  <c r="B75" s="1"/>
  <c r="Y71"/>
  <c r="W71"/>
  <c r="Z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W69"/>
  <c r="W68"/>
  <c r="Y68" s="1"/>
  <c r="W67"/>
  <c r="Z67" s="1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W66"/>
  <c r="W65"/>
  <c r="W64"/>
  <c r="W63"/>
  <c r="W62"/>
  <c r="Y62" s="1"/>
  <c r="Y61" s="1"/>
  <c r="AB61"/>
  <c r="AA61"/>
  <c r="Z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W60"/>
  <c r="W59"/>
  <c r="Y59" s="1"/>
  <c r="W58"/>
  <c r="Z58" s="1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W57"/>
  <c r="W56"/>
  <c r="Y56" s="1"/>
  <c r="W55"/>
  <c r="Y55" s="1"/>
  <c r="W54"/>
  <c r="Y54" s="1"/>
  <c r="W53"/>
  <c r="Y53" s="1"/>
  <c r="W52"/>
  <c r="Y52" s="1"/>
  <c r="W51"/>
  <c r="Y51" s="1"/>
  <c r="W50"/>
  <c r="Y50" s="1"/>
  <c r="W49"/>
  <c r="Y49" s="1"/>
  <c r="W48"/>
  <c r="Y48" s="1"/>
  <c r="W47"/>
  <c r="Z47" s="1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Y46"/>
  <c r="W46"/>
  <c r="Z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W44"/>
  <c r="W43"/>
  <c r="W42"/>
  <c r="Y42" s="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W40"/>
  <c r="Y39"/>
  <c r="Y38" s="1"/>
  <c r="W39"/>
  <c r="AB38"/>
  <c r="AA38"/>
  <c r="Z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W37"/>
  <c r="Y36"/>
  <c r="Y35" s="1"/>
  <c r="W36"/>
  <c r="AB35"/>
  <c r="AA35"/>
  <c r="Z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W34"/>
  <c r="W33"/>
  <c r="W32"/>
  <c r="Y32" s="1"/>
  <c r="Y31" s="1"/>
  <c r="AB31"/>
  <c r="AA31"/>
  <c r="Z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W30"/>
  <c r="W29"/>
  <c r="Y29" s="1"/>
  <c r="Y28" s="1"/>
  <c r="AB28"/>
  <c r="AA28"/>
  <c r="Z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W27"/>
  <c r="W26"/>
  <c r="W25"/>
  <c r="W24"/>
  <c r="W23"/>
  <c r="W21" s="1"/>
  <c r="W22"/>
  <c r="Z21"/>
  <c r="Y21"/>
  <c r="X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W20"/>
  <c r="Y20" s="1"/>
  <c r="W19"/>
  <c r="Y19" s="1"/>
  <c r="AB18"/>
  <c r="AA18"/>
  <c r="Z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Y16" s="1"/>
  <c r="W17"/>
  <c r="Z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W15"/>
  <c r="Y15" s="1"/>
  <c r="Y14" s="1"/>
  <c r="Z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W13"/>
  <c r="W12"/>
  <c r="Y12" s="1"/>
  <c r="Y11" s="1"/>
  <c r="Z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W10"/>
  <c r="Z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W8"/>
  <c r="Y7"/>
  <c r="W7"/>
  <c r="Z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W5"/>
  <c r="W4"/>
  <c r="W3"/>
  <c r="Z3" s="1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Y18" l="1"/>
  <c r="Y75" s="1"/>
  <c r="W41"/>
  <c r="W75" s="1"/>
  <c r="Z75" s="1"/>
  <c r="Y76" l="1"/>
  <c r="Y77" s="1"/>
</calcChain>
</file>

<file path=xl/sharedStrings.xml><?xml version="1.0" encoding="utf-8"?>
<sst xmlns="http://schemas.openxmlformats.org/spreadsheetml/2006/main" count="772" uniqueCount="352">
  <si>
    <t>№ группы ВМП</t>
  </si>
  <si>
    <t>ГБУЗ РБ БСМП г.Уфа</t>
  </si>
  <si>
    <t>ФГБУ ВЦГПХ МЗ РФ</t>
  </si>
  <si>
    <t>ГБУЗ РБ ГБ Салават</t>
  </si>
  <si>
    <t>ГБУЗ РБ ГДКБ №17 г. Уфа</t>
  </si>
  <si>
    <t>ГБУЗ РБ ГКБ №18 г. Уфа</t>
  </si>
  <si>
    <t>ГБУЗ РБ ГКБ №21 г. Уфа</t>
  </si>
  <si>
    <t>ГБУЗ РБ КБ №1 г. Стерлитамак</t>
  </si>
  <si>
    <t>ГБУЗ РБ Месягутовская ЦРБ</t>
  </si>
  <si>
    <t>ГБУЗ РКВД №1</t>
  </si>
  <si>
    <t>ГБУЗ РКГВВ</t>
  </si>
  <si>
    <t>ГБУЗ РКЦ</t>
  </si>
  <si>
    <t>ГБУЗ РДКБ</t>
  </si>
  <si>
    <t>ИТОГО</t>
  </si>
  <si>
    <t>Проектные объемы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</si>
  <si>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</si>
  <si>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</si>
  <si>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</si>
  <si>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</si>
  <si>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</si>
  <si>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</si>
  <si>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</si>
  <si>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</si>
  <si>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</si>
  <si>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</si>
  <si>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</si>
  <si>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</si>
  <si>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</si>
  <si>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</si>
  <si>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</si>
  <si>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</si>
  <si>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</si>
  <si>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</si>
  <si>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</si>
  <si>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</si>
  <si>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Всего</t>
  </si>
  <si>
    <t>№ п/п</t>
  </si>
  <si>
    <t>Наименование медицинских организаций</t>
  </si>
  <si>
    <t>ВСЕГО</t>
  </si>
  <si>
    <t>в том числе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</si>
  <si>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</si>
  <si>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</si>
  <si>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</si>
  <si>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</si>
  <si>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</si>
  <si>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</si>
  <si>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</si>
  <si>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</si>
  <si>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</si>
  <si>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r>
      <t xml:space="preserve">1 этап </t>
    </r>
    <r>
      <rPr>
        <u/>
        <sz val="8"/>
        <color rgb="FF000000"/>
        <rFont val="Times New Roman"/>
        <family val="1"/>
        <charset val="204"/>
      </rPr>
      <t>(терапевт)</t>
    </r>
  </si>
  <si>
    <t>2 этап</t>
  </si>
  <si>
    <t>первичный прием</t>
  </si>
  <si>
    <t>повторная консуль-тация</t>
  </si>
  <si>
    <t>финансиру-емые по реестрам</t>
  </si>
  <si>
    <t>финансиру-емые по подушевому принципу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</si>
  <si>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</si>
  <si>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</si>
  <si>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</si>
  <si>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</si>
  <si>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</si>
  <si>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</si>
  <si>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</si>
  <si>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</si>
  <si>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</si>
  <si>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</si>
  <si>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</si>
  <si>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ГБУЗ РБ Белорецкая ЦРКБ</t>
  </si>
  <si>
    <t>ГАУЗ РБ Учалинская ЦГБ</t>
  </si>
  <si>
    <t>ГБУЗ РБ Аскаровская ЦРБ</t>
  </si>
  <si>
    <t>ГБУЗ РБ Бурзянская ЦРБ</t>
  </si>
  <si>
    <t>ООО "Мой доктор"</t>
  </si>
  <si>
    <t>ФГБУЗ МСЧ № 142 ФМБА России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</si>
  <si>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</si>
  <si>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</si>
  <si>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</si>
  <si>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</si>
  <si>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ГБ г. Нефтекамск</t>
  </si>
  <si>
    <t>Обособленное структурное подразделение ГБУЗ РБ ГБ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</si>
  <si>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</si>
  <si>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</si>
  <si>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</si>
  <si>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</si>
  <si>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</si>
  <si>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</si>
  <si>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</si>
  <si>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</si>
  <si>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</si>
  <si>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 «Белый Жемчуг»</t>
  </si>
  <si>
    <t>ООО  «Ваша стоматология»</t>
  </si>
  <si>
    <t>ООО "ВИП"</t>
  </si>
  <si>
    <t>ООО "ВИТАЛ"</t>
  </si>
  <si>
    <t>ООО "Галия"</t>
  </si>
  <si>
    <t>ООО "ПМЦ "Династия"</t>
  </si>
  <si>
    <t>ООО «Корона+»</t>
  </si>
  <si>
    <t>ООО "ЭнжеДент"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</si>
  <si>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</si>
  <si>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</si>
  <si>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</si>
  <si>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</si>
  <si>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ООО Стоматологическая клиника "ПАЛИТРАДЕНТ"</t>
  </si>
  <si>
    <t>ГБУЗ РБ ЦГБ г. Сибай</t>
  </si>
  <si>
    <t>ГАУЗ РБ Стоматологическая поликлиника г.Сибай</t>
  </si>
  <si>
    <t>ГБУЗ РБ Баймакская ЦГБ</t>
  </si>
  <si>
    <t>ГБУЗ РБ Акъярская ЦРБ</t>
  </si>
  <si>
    <t>ГБУЗ РБ Зилаирская ЦРБ</t>
  </si>
  <si>
    <t>ИП Искужин Р.Г.</t>
  </si>
  <si>
    <t>ООО "Медента"</t>
  </si>
  <si>
    <t>ГБУЗ РБ КБ № 1 г. Стерлитамак</t>
  </si>
  <si>
    <t>ГБУЗ РБ Городская больница № 2               г. Стерлитамак</t>
  </si>
  <si>
    <t xml:space="preserve">ГБУЗ РБ ГБ № 3 г. Стерлитамак 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</si>
  <si>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</si>
  <si>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</si>
  <si>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Городская инфекционная больница г. Стерлитамак</t>
  </si>
  <si>
    <t>ГБУЗ РБ ДБ г. Стерлитамак</t>
  </si>
  <si>
    <t xml:space="preserve">ГАУЗ РБ КВД г. Стерлитамак </t>
  </si>
  <si>
    <t>ГБУЗ РБ СП г.Стерлитамак</t>
  </si>
  <si>
    <t>НУЗ "Узловая больница на ст. Стерлитамак ОАО "РЖД"</t>
  </si>
  <si>
    <t>ГБУЗ РБ Ишимбайская ЦРБ</t>
  </si>
  <si>
    <t xml:space="preserve">ГБУЗ РБ ГБ г. Кумертау </t>
  </si>
  <si>
    <t>Обособленное структурное подразделение ГБУЗ РБ ГБ г. Кумертау ранее именуемое ГБУЗ РБ Ермолаевская ЦРБ</t>
  </si>
  <si>
    <t>ГБУЗ РБ Мелеузовская ЦРБ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</si>
  <si>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</si>
  <si>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</si>
  <si>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ГБУЗ РБ Стоматологическая поликлиника г.Салават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</si>
  <si>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</si>
  <si>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</si>
  <si>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</si>
  <si>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</si>
  <si>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</si>
  <si>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</si>
  <si>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</si>
  <si>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ООО "Медсервис" г. Салават</t>
  </si>
  <si>
    <t>ГБУЗ РБ Туймазинская ЦРБ</t>
  </si>
  <si>
    <t>ГБУЗ РБ ГБ № 1 г. Октябрьский</t>
  </si>
  <si>
    <t>ГБУ РБ Стоматологическая поликлиника г.Октябрьский</t>
  </si>
  <si>
    <t>ГБУЗ РБ Бакалинская ЦРБ</t>
  </si>
  <si>
    <t>ГБУЗ РБ Верхнеяркеевская ЦРБ</t>
  </si>
  <si>
    <t>ГБУЗ РБ Шаранская ЦРБ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</si>
  <si>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</si>
  <si>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</si>
  <si>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</si>
  <si>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</si>
  <si>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</si>
  <si>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ГАУЗ РБ Детская СП №3 г.Уфа</t>
  </si>
  <si>
    <t>ГБУЗ РБ Детская СП №7 г.Уфа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</si>
  <si>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</si>
  <si>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</si>
  <si>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</si>
  <si>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</si>
  <si>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</si>
  <si>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</si>
  <si>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</si>
  <si>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</si>
  <si>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</si>
  <si>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</si>
  <si>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</si>
  <si>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</si>
  <si>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</si>
  <si>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</si>
  <si>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</si>
  <si>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</si>
  <si>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</si>
  <si>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</si>
  <si>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</si>
  <si>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</si>
  <si>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</si>
  <si>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</si>
  <si>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</si>
  <si>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</si>
  <si>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</si>
  <si>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</si>
  <si>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</si>
  <si>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 xml:space="preserve">ГБУЗ РБ РД № 3 г. Уфа  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</si>
  <si>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</si>
  <si>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</si>
  <si>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</si>
  <si>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</si>
  <si>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</si>
  <si>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</si>
  <si>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</si>
  <si>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</si>
  <si>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</si>
  <si>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</si>
  <si>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ГБУ БНИЦ по пчеловодству и апитерапии</t>
  </si>
  <si>
    <t>НУЗ "Дорожный центр восстановительной медицины и реабилитации ОАО "РЖД"</t>
  </si>
  <si>
    <t>ФГБОУ ВО БГМУ Минздрава России</t>
  </si>
  <si>
    <t>ФГБОУ ВО БГМУ Минздрава России (стоматология)</t>
  </si>
  <si>
    <t>Поликлиника УНЦ РАН</t>
  </si>
  <si>
    <t>ФКУЗ «МСЧ МВД России по РБ»</t>
  </si>
  <si>
    <t>ООО "Арт-Лион"</t>
  </si>
  <si>
    <t>ООО "Дантист"</t>
  </si>
  <si>
    <t>ООО "Мастер-Дент"</t>
  </si>
  <si>
    <t>ООО "МЦ Семья"</t>
  </si>
  <si>
    <t>ООО "Семейный доктор"</t>
  </si>
  <si>
    <t>ООО "УльтраМед"</t>
  </si>
  <si>
    <t>ООО "Эмидент"</t>
  </si>
  <si>
    <t>ООО "ЮНИСТ"</t>
  </si>
  <si>
    <t>ГБУЗ РКБ им.Г.Г. Куватова</t>
  </si>
  <si>
    <t>ГБУЗ РКОД МЗ РБ</t>
  </si>
  <si>
    <t>АУЗ РСП</t>
  </si>
  <si>
    <t>ГБУ "УфНИИ ГБ АН РБ"</t>
  </si>
  <si>
    <t>ГАУЗ РКВД № 1</t>
  </si>
  <si>
    <t xml:space="preserve">ГБУЗ "РДКБ" </t>
  </si>
  <si>
    <t>ГБУЗ "РКПЦ" МЗ РБ</t>
  </si>
  <si>
    <t>ГБУЗ РМГЦ</t>
  </si>
  <si>
    <t>ГАУЗ РВФД</t>
  </si>
  <si>
    <t xml:space="preserve">ГБУЗ РБ ГКБ № 21 г. Уфа </t>
  </si>
  <si>
    <t>Обособленное структурное подразделение ГБУЗ РБ ГКБ № 21 г. Уфа  ранее именуемое ГБУЗ РБ Уфимская ЦРП</t>
  </si>
  <si>
    <t>ГБУЗ РБ ИКБ № 4 г. Уфа</t>
  </si>
  <si>
    <t>Медицинская помощь за пределами РБ</t>
  </si>
  <si>
    <t>(случай лечения)</t>
  </si>
  <si>
    <t>Наименование медицинской организации</t>
  </si>
  <si>
    <t xml:space="preserve">В дневных стационарах всех типов </t>
  </si>
  <si>
    <t>Всего ОМС</t>
  </si>
  <si>
    <t xml:space="preserve">В рамках базовой программы ОМС </t>
  </si>
  <si>
    <t>в том числе ЭКО для   каждого   этапа*</t>
  </si>
  <si>
    <t>В рамках  сверхбазовой программы ОМС  Кибер-нож</t>
  </si>
  <si>
    <t>ГБУЗ РБ Городская больница № 2 г. Стерлитамак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</si>
  <si>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</si>
  <si>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</si>
  <si>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ГАУЗ РБ "Санаторий для детей НУР г. Стерлитамак"</t>
  </si>
  <si>
    <t>Обособленное структурное подразделение ГБУЗ РБ ГБ г. Кумертау  ранее именуемое ГБУЗ РБ Ермолаевская ЦРБ</t>
  </si>
  <si>
    <t>ООО "Медсервис"</t>
  </si>
  <si>
    <r>
      <t xml:space="preserve">ГБУЗ РБ </t>
    </r>
    <r>
      <rPr>
        <sz val="10"/>
        <color theme="1"/>
        <rFont val="Times New Roman"/>
        <family val="1"/>
        <charset val="204"/>
      </rPr>
      <t>Детская поликлиника № 6 г. Уфа</t>
    </r>
  </si>
  <si>
    <t xml:space="preserve">АО "Медторгсервис" </t>
  </si>
  <si>
    <r>
      <t>ООО "АНЭКО</t>
    </r>
    <r>
      <rPr>
        <b/>
        <sz val="10"/>
        <color rgb="FF000000"/>
        <rFont val="Times New Roman"/>
        <family val="1"/>
        <charset val="204"/>
      </rPr>
      <t>"*</t>
    </r>
  </si>
  <si>
    <t>ООО "Клиника глазных болезней"</t>
  </si>
  <si>
    <t>ООО "Лаборатория гемодиализа"</t>
  </si>
  <si>
    <r>
      <t>ООО "МД Проект 2010"</t>
    </r>
    <r>
      <rPr>
        <b/>
        <sz val="10"/>
        <color rgb="FF000000"/>
        <rFont val="Times New Roman"/>
        <family val="1"/>
        <charset val="204"/>
      </rPr>
      <t>*</t>
    </r>
  </si>
  <si>
    <t>ООО "Сфера-Эстейт"</t>
  </si>
  <si>
    <r>
      <t>ООО "ЦМТ</t>
    </r>
    <r>
      <rPr>
        <b/>
        <sz val="10"/>
        <color rgb="FF000000"/>
        <rFont val="Times New Roman"/>
        <family val="1"/>
        <charset val="204"/>
      </rPr>
      <t>"*</t>
    </r>
  </si>
  <si>
    <t>ООО "Экома"</t>
  </si>
  <si>
    <r>
      <t>ГБУЗ "РКПЦ" МЗ РБ</t>
    </r>
    <r>
      <rPr>
        <b/>
        <sz val="10"/>
        <color rgb="FF000000"/>
        <rFont val="Times New Roman"/>
        <family val="1"/>
        <charset val="204"/>
      </rPr>
      <t>*</t>
    </r>
  </si>
  <si>
    <t>Обособленное структурное подразделение ГБУЗ РБ ГКБ № 21 г. Уфа ранее именуемое ГБУЗ РБ Уфимская ЦРП</t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</si>
  <si>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</si>
  <si>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</si>
  <si>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</si>
  <si>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</si>
  <si>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Итого</t>
  </si>
  <si>
    <t>(случаи госпитализации)</t>
  </si>
  <si>
    <t>Всего в рамках программы ОМС</t>
  </si>
  <si>
    <t>ВМП</t>
  </si>
  <si>
    <t>ОМС (базовая)</t>
  </si>
  <si>
    <t>в том числе медицинская реабилитация</t>
  </si>
  <si>
    <t>сверхбазовая программа ОМС (восстанови-тельное лечение)</t>
  </si>
  <si>
    <t>ГБУЗ РБ Городская инфекционная больница                                                                            г. Стерлитамак</t>
  </si>
  <si>
    <t xml:space="preserve">ООО "Медсервис" </t>
  </si>
  <si>
    <t>ООО "МД Проект 2010"</t>
  </si>
  <si>
    <t>ООО "ЦМТ"</t>
  </si>
  <si>
    <t>ООО "Медицинский центр Семья"</t>
  </si>
  <si>
    <t>ООО «Санаторий "Зеленая роща"» РБ</t>
  </si>
  <si>
    <t>ООО  санаторий "Юматово"</t>
  </si>
  <si>
    <t>ГБУЗ РКБ им. Г.Г.Куватова</t>
  </si>
  <si>
    <t>ГБУЗ РКОД  МЗ РБ</t>
  </si>
  <si>
    <t>ФБУН  "Уфимский НИИ медицины труда и экологии человека"</t>
  </si>
  <si>
    <t>ГБУЗ " РДКБ"</t>
  </si>
  <si>
    <t xml:space="preserve">ГБУЗ РБ ГКБ № 21 г.Уфа 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</si>
  <si>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</si>
  <si>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</si>
  <si>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ФГБУ "ВЦГПХ" МЗ РФ</t>
  </si>
  <si>
    <t>Резерв</t>
  </si>
  <si>
    <t>ГБУЗ РБ РД №3 г.Уфа</t>
  </si>
  <si>
    <t>ГБУЗ РБ ГКБ №10 г. Уфа</t>
  </si>
  <si>
    <t>ГБУЗ РБ ГКБ №13 г. Уфа</t>
  </si>
  <si>
    <t>ГБУ  "УфНИИ ГБ АН РБ"</t>
  </si>
  <si>
    <t>ГБУЗ "РДКБ"</t>
  </si>
  <si>
    <t>Объем, перечень видов ВМП, финансовое обеспечение которых осуществляется за счет средств ОМС, 
установленные Комиссией на 2018 год (в редакции Протокола № 82 от 26.03.2018 года).</t>
  </si>
  <si>
    <t>Неотложная медицинская помощь (посещение по неотложной медицинской помощи)</t>
  </si>
  <si>
    <t>в том числе посещения в травматоло-гические пункты</t>
  </si>
  <si>
    <t>Обращения в связи с заболеваниями (обращение)</t>
  </si>
  <si>
    <t>Обращения МО, имеющих прикрепленное население</t>
  </si>
  <si>
    <t>Обращения МО, не имеющих прикрепленного населения</t>
  </si>
  <si>
    <t>Обращения в онкоцен-трах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</si>
  <si>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</si>
  <si>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ООО «Экодент»</t>
  </si>
  <si>
    <t>Обособленное структурное подразделение ГБУЗ РБ ГБ                         г. Нефтекамск, ранее именуемое ГБУЗ РБ Агидельская ГБ</t>
  </si>
  <si>
    <t>ООО ГСК</t>
  </si>
  <si>
    <t>ООО "Дента"</t>
  </si>
  <si>
    <t>ООО "Медисса"</t>
  </si>
  <si>
    <t>ГБУЗ РБ Городская больница № 2                     г. Стерлитамак</t>
  </si>
  <si>
    <t>ГБУЗ РБ Городская больница № 4                    г. Стерлитамак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</si>
  <si>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</si>
  <si>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АНО "Перинатальный центр"</t>
  </si>
  <si>
    <t>ООО СП "Берёзка"</t>
  </si>
  <si>
    <t>ООО "ММОЦ"</t>
  </si>
  <si>
    <t>ООО "Медсервис" с.Верхнеяркеево</t>
  </si>
  <si>
    <t>АО "Медторгсервис"</t>
  </si>
  <si>
    <t>ООО "ДЭНТА"</t>
  </si>
  <si>
    <t>ООО "Клиника Авиценна"</t>
  </si>
  <si>
    <t>ООО "МД Проект 2010""</t>
  </si>
  <si>
    <t>ООО "Медхелп"</t>
  </si>
  <si>
    <t xml:space="preserve">ООО "Экома" </t>
  </si>
  <si>
    <t>Амбулаторно-поликлиническая помощь в части обращений в связи с заболеваниями  и неотложной медицинской помощи на 2018 год (в редакции Протокола № 82 от 26.03.2018 г.).</t>
  </si>
  <si>
    <t>АНО "Перинатальный цент"</t>
  </si>
  <si>
    <t>Амбулаторно-поликлиническая помощь в части посещений с профилактической целью на 2018 год                                                                                                                                                              (в редакции Протокола № 82 от 26.03.2018 г.).</t>
  </si>
  <si>
    <t>(процедуры)</t>
  </si>
  <si>
    <t>для пациентов с ОПН в условиях круглосуточного стационара</t>
  </si>
  <si>
    <t>для пациентов с ОПН в амбулатор-ных условиях</t>
  </si>
  <si>
    <t>для пациентов с ХПН в амбулаторных условиях</t>
  </si>
  <si>
    <t>для пациентов с ХПН в условиях дневного стационара</t>
  </si>
  <si>
    <t>гемодиализ интермитти-рующий низкопо-точный (А18.05.002; А18.05.002.002)</t>
  </si>
  <si>
    <t>гемодиализ интермит-тирующий высоко-поточный (А18.05.002.001)</t>
  </si>
  <si>
    <t>услуги диализа, оказываемые в отделениях фильтрации</t>
  </si>
  <si>
    <t>гемодиа-фильтрация (А18.05.011)</t>
  </si>
  <si>
    <t>перитонеаль-ный диализ      при  нарушении ультрафиль-трации (А18.30.001.003)</t>
  </si>
  <si>
    <t>селективная гемосорбция липополи-сахаридов  (А18.05.006.001)</t>
  </si>
  <si>
    <t>ГБУЗ РКБ им. Г.Г. Куватова</t>
  </si>
  <si>
    <t>ГБУЗ РБ ГБ г.Нефтекамск</t>
  </si>
  <si>
    <t>ГБУЗ РБ БСМП  г. Уфа</t>
  </si>
  <si>
    <t>ГБУЗ РБ КБ №1 г.Стерлитамак</t>
  </si>
  <si>
    <t>ООО "Лаборатория Гемодиализа"</t>
  </si>
  <si>
    <t>ООО "Сфера Эстейт"</t>
  </si>
  <si>
    <t>Прирост регистра пациентов (10%)</t>
  </si>
  <si>
    <t>гемофильтрация крови продленная (А18.05.003.001)</t>
  </si>
  <si>
    <t>Медицинская помощь, оказываемая в условиях дневных стационаров всех типов,                                                              на 2018 год (в редакции Протокола № 82 от 26.03.2018 г.).</t>
  </si>
  <si>
    <t>Медицинская помощь, оказываемая в круглосуточных стационарах на 2018 год                                                                                           (в редакции Протокола № 82 от 26.03.2018 г.).</t>
  </si>
  <si>
    <t>(услуги)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</si>
  <si>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</si>
  <si>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</si>
  <si>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</si>
  <si>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</si>
  <si>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Компьютерная томография в центре ПЭТ</t>
  </si>
  <si>
    <t>без К</t>
  </si>
  <si>
    <t>с К</t>
  </si>
  <si>
    <t>с К  и исп. АИ</t>
  </si>
  <si>
    <t>сцинти-графия</t>
  </si>
  <si>
    <t xml:space="preserve">рено-графия </t>
  </si>
  <si>
    <t>ГБУЗ РБ ГБ города Нефтекамск</t>
  </si>
  <si>
    <t>ГБУЗ РБ ЦГБ г.Сибай</t>
  </si>
  <si>
    <t xml:space="preserve">ООО "МедТех"                                                            </t>
  </si>
  <si>
    <t>ГБУЗ РБ КБ № 1 г.Стерлитамак</t>
  </si>
  <si>
    <t>ГБУЗ РБ ГБ № 3 г.Стерлитамак</t>
  </si>
  <si>
    <t>ГБУЗ РБ ГБ г.Кумертау</t>
  </si>
  <si>
    <t>ГБУЗ РБ ГБ г.Салават</t>
  </si>
  <si>
    <t>ООО "Медсервис" г.Салават</t>
  </si>
  <si>
    <t>ГБУЗ РБ ГБ № 1 г.Октябрьский</t>
  </si>
  <si>
    <t>ГБУЗ РБ Поликлиника №32 г. Уфа</t>
  </si>
  <si>
    <t>ГБУЗ РБ Поликлиника №43 г. Уфа</t>
  </si>
  <si>
    <t>ГБУЗ РБ Поликлиника №46 г. Уфа</t>
  </si>
  <si>
    <t>ГБУЗ РБ ГКБ Демского района г. Уфа</t>
  </si>
  <si>
    <t>ФГБОУ ВО "БГМУ" Минздрава России</t>
  </si>
  <si>
    <t xml:space="preserve">ООО "Клиника МРТ-ПРОГРЕСС"                                                                                 </t>
  </si>
  <si>
    <t>OOO "Клиника Эксперт Уфа"</t>
  </si>
  <si>
    <t xml:space="preserve">ООО "МД Проект 2010" </t>
  </si>
  <si>
    <t xml:space="preserve">ООО "ЛДЦ МИБС-Уфа"                                                                                                      </t>
  </si>
  <si>
    <t>ООО "Центр здоровья"</t>
  </si>
  <si>
    <t>ГБУЗ РБ БСМП г. Уфа</t>
  </si>
  <si>
    <t xml:space="preserve">ГБУЗ РБ ГКБ №21 г. Уфа </t>
  </si>
  <si>
    <t>ООО "ПЭТ-Технолоджи"</t>
  </si>
  <si>
    <t xml:space="preserve">Объемы лечебно-диагностических исследований, оказываемых в амбулаторно-поликлинических условиях  на 2018 год                                               (в редакции Протокола № 82 от 26.03.2018 г.).                                                                                                                                                 </t>
  </si>
  <si>
    <t>для пациентов с ХПН в условиях круглосуточного стационара</t>
  </si>
  <si>
    <t>Плановое количество сеансов заместительной почечной терапии методами гемодиализа и перитонеального диализа на 2018 год  (в редакции Протокола № 82 от 26.03.2018 года).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</si>
</sst>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1" fillId="0" borderId="0">
      <protection locked="0"/>
    </xf>
    <xf numFmtId="0" fontId="5" fillId="0" borderId="0"/>
    <xf numFmtId="9" fontId="12" fillId="0" borderId="0" applyFont="0" applyFill="0" applyBorder="0" applyAlignment="0" applyProtection="0"/>
    <xf numFmtId="0" fontId="3" fillId="0" borderId="0"/>
    <xf numFmtId="0" fontId="20" fillId="0" borderId="0"/>
    <xf numFmtId="164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4" fontId="21" fillId="3" borderId="2" xfId="44" applyNumberFormat="1" applyFont="1" applyFill="1" applyBorder="1" applyAlignment="1">
      <alignment horizontal="left" vertical="center" wrapText="1"/>
    </xf>
    <xf numFmtId="4" fontId="27" fillId="3" borderId="2" xfId="44" applyNumberFormat="1" applyFont="1" applyFill="1" applyBorder="1" applyAlignment="1">
      <alignment horizontal="left" vertical="center" wrapText="1"/>
    </xf>
    <xf numFmtId="4" fontId="31" fillId="3" borderId="2" xfId="46" applyNumberFormat="1" applyFont="1" applyFill="1" applyBorder="1" applyAlignment="1">
      <alignment wrapText="1"/>
    </xf>
    <xf numFmtId="0" fontId="3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textRotation="90" wrapText="1"/>
    </xf>
    <xf numFmtId="0" fontId="34" fillId="0" borderId="2" xfId="0" applyFont="1" applyFill="1" applyBorder="1" applyAlignment="1">
      <alignment horizontal="center" vertical="center" textRotation="90" wrapText="1"/>
    </xf>
    <xf numFmtId="3" fontId="35" fillId="2" borderId="5" xfId="0" applyNumberFormat="1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/>
    </xf>
    <xf numFmtId="0" fontId="0" fillId="0" borderId="2" xfId="0" applyBorder="1"/>
    <xf numFmtId="3" fontId="35" fillId="3" borderId="3" xfId="0" applyNumberFormat="1" applyFont="1" applyFill="1" applyBorder="1" applyAlignment="1">
      <alignment horizontal="center" vertical="center" wrapText="1"/>
    </xf>
    <xf numFmtId="3" fontId="36" fillId="3" borderId="2" xfId="0" applyNumberFormat="1" applyFont="1" applyFill="1" applyBorder="1" applyAlignment="1" applyProtection="1">
      <alignment horizontal="center"/>
      <protection locked="0"/>
    </xf>
    <xf numFmtId="3" fontId="37" fillId="3" borderId="2" xfId="0" applyNumberFormat="1" applyFont="1" applyFill="1" applyBorder="1" applyAlignment="1" applyProtection="1">
      <alignment horizontal="center"/>
      <protection locked="0"/>
    </xf>
    <xf numFmtId="3" fontId="36" fillId="3" borderId="2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/>
    <xf numFmtId="3" fontId="35" fillId="3" borderId="2" xfId="0" applyNumberFormat="1" applyFont="1" applyFill="1" applyBorder="1" applyAlignment="1">
      <alignment horizontal="center" vertical="center" wrapText="1"/>
    </xf>
    <xf numFmtId="3" fontId="35" fillId="2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3" fontId="35" fillId="3" borderId="4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/>
    </xf>
    <xf numFmtId="3" fontId="38" fillId="2" borderId="5" xfId="0" applyNumberFormat="1" applyFont="1" applyFill="1" applyBorder="1" applyAlignment="1">
      <alignment horizontal="center" vertical="center" wrapText="1"/>
    </xf>
    <xf numFmtId="3" fontId="38" fillId="2" borderId="2" xfId="0" applyNumberFormat="1" applyFont="1" applyFill="1" applyBorder="1" applyAlignment="1">
      <alignment horizontal="center" vertical="center" wrapText="1"/>
    </xf>
    <xf numFmtId="0" fontId="39" fillId="3" borderId="2" xfId="0" applyFont="1" applyFill="1" applyBorder="1"/>
    <xf numFmtId="0" fontId="39" fillId="3" borderId="0" xfId="0" applyFont="1" applyFill="1"/>
    <xf numFmtId="0" fontId="39" fillId="0" borderId="0" xfId="0" applyFont="1"/>
    <xf numFmtId="3" fontId="32" fillId="3" borderId="2" xfId="0" applyNumberFormat="1" applyFont="1" applyFill="1" applyBorder="1" applyAlignment="1" applyProtection="1">
      <alignment horizontal="center"/>
      <protection locked="0"/>
    </xf>
    <xf numFmtId="0" fontId="36" fillId="3" borderId="0" xfId="47" applyFont="1" applyFill="1"/>
    <xf numFmtId="0" fontId="15" fillId="3" borderId="0" xfId="47" applyFont="1" applyFill="1" applyAlignment="1">
      <alignment vertical="center" wrapText="1"/>
    </xf>
    <xf numFmtId="0" fontId="15" fillId="3" borderId="0" xfId="47" applyFont="1" applyFill="1"/>
    <xf numFmtId="3" fontId="16" fillId="3" borderId="2" xfId="47" applyNumberFormat="1" applyFont="1" applyFill="1" applyBorder="1" applyAlignment="1">
      <alignment horizontal="center" vertical="center" wrapText="1"/>
    </xf>
    <xf numFmtId="0" fontId="16" fillId="3" borderId="2" xfId="47" applyFont="1" applyFill="1" applyBorder="1" applyAlignment="1">
      <alignment horizontal="center" vertical="center" wrapText="1"/>
    </xf>
    <xf numFmtId="0" fontId="18" fillId="3" borderId="2" xfId="47" applyFont="1" applyFill="1" applyBorder="1" applyAlignment="1">
      <alignment horizontal="center" vertical="center" wrapText="1"/>
    </xf>
    <xf numFmtId="0" fontId="18" fillId="3" borderId="3" xfId="47" applyFont="1" applyFill="1" applyBorder="1" applyAlignment="1">
      <alignment horizontal="center" vertical="center" wrapText="1"/>
    </xf>
    <xf numFmtId="0" fontId="36" fillId="3" borderId="0" xfId="47" applyFont="1" applyFill="1" applyAlignment="1">
      <alignment vertical="center" wrapText="1"/>
    </xf>
    <xf numFmtId="3" fontId="18" fillId="3" borderId="2" xfId="47" applyNumberFormat="1" applyFont="1" applyFill="1" applyBorder="1" applyAlignment="1">
      <alignment vertical="center"/>
    </xf>
    <xf numFmtId="3" fontId="18" fillId="3" borderId="2" xfId="47" applyNumberFormat="1" applyFont="1" applyFill="1" applyBorder="1" applyAlignment="1">
      <alignment horizontal="center" vertical="center" wrapText="1"/>
    </xf>
    <xf numFmtId="3" fontId="18" fillId="3" borderId="2" xfId="47" applyNumberFormat="1" applyFont="1" applyFill="1" applyBorder="1" applyAlignment="1">
      <alignment vertical="center" wrapText="1"/>
    </xf>
    <xf numFmtId="3" fontId="27" fillId="3" borderId="2" xfId="47" applyNumberFormat="1" applyFont="1" applyFill="1" applyBorder="1" applyAlignment="1">
      <alignment horizontal="center" vertical="center" wrapText="1"/>
    </xf>
    <xf numFmtId="0" fontId="27" fillId="3" borderId="0" xfId="47" applyFont="1" applyFill="1"/>
    <xf numFmtId="4" fontId="27" fillId="3" borderId="2" xfId="47" applyNumberFormat="1" applyFont="1" applyFill="1" applyBorder="1" applyAlignment="1">
      <alignment wrapText="1"/>
    </xf>
    <xf numFmtId="0" fontId="41" fillId="3" borderId="0" xfId="47" applyFont="1" applyFill="1"/>
    <xf numFmtId="3" fontId="23" fillId="3" borderId="2" xfId="47" applyNumberFormat="1" applyFont="1" applyFill="1" applyBorder="1"/>
    <xf numFmtId="0" fontId="36" fillId="3" borderId="2" xfId="47" applyFont="1" applyFill="1" applyBorder="1"/>
    <xf numFmtId="0" fontId="24" fillId="3" borderId="2" xfId="47" applyFont="1" applyFill="1" applyBorder="1" applyAlignment="1">
      <alignment horizontal="center"/>
    </xf>
    <xf numFmtId="0" fontId="24" fillId="3" borderId="2" xfId="47" applyFont="1" applyFill="1" applyBorder="1" applyAlignment="1">
      <alignment horizontal="left"/>
    </xf>
    <xf numFmtId="3" fontId="24" fillId="3" borderId="2" xfId="47" applyNumberFormat="1" applyFont="1" applyFill="1" applyBorder="1" applyAlignment="1">
      <alignment horizontal="center"/>
    </xf>
    <xf numFmtId="0" fontId="24" fillId="3" borderId="0" xfId="47" applyFont="1" applyFill="1" applyAlignment="1">
      <alignment horizontal="center"/>
    </xf>
    <xf numFmtId="0" fontId="23" fillId="3" borderId="0" xfId="47" applyFont="1" applyFill="1"/>
    <xf numFmtId="3" fontId="36" fillId="3" borderId="0" xfId="47" applyNumberFormat="1" applyFont="1" applyFill="1"/>
    <xf numFmtId="0" fontId="2" fillId="3" borderId="0" xfId="47" applyFill="1"/>
    <xf numFmtId="0" fontId="19" fillId="3" borderId="0" xfId="47" applyFont="1" applyFill="1"/>
    <xf numFmtId="3" fontId="18" fillId="3" borderId="2" xfId="47" applyNumberFormat="1" applyFont="1" applyFill="1" applyBorder="1" applyAlignment="1">
      <alignment horizontal="center" vertical="center"/>
    </xf>
    <xf numFmtId="3" fontId="19" fillId="3" borderId="0" xfId="47" applyNumberFormat="1" applyFont="1" applyFill="1"/>
    <xf numFmtId="3" fontId="21" fillId="3" borderId="2" xfId="47" applyNumberFormat="1" applyFont="1" applyFill="1" applyBorder="1" applyAlignment="1">
      <alignment horizontal="center" vertical="center"/>
    </xf>
    <xf numFmtId="3" fontId="22" fillId="3" borderId="0" xfId="47" applyNumberFormat="1" applyFont="1" applyFill="1"/>
    <xf numFmtId="4" fontId="21" fillId="3" borderId="2" xfId="47" applyNumberFormat="1" applyFont="1" applyFill="1" applyBorder="1" applyAlignment="1">
      <alignment wrapText="1"/>
    </xf>
    <xf numFmtId="3" fontId="24" fillId="3" borderId="2" xfId="47" applyNumberFormat="1" applyFont="1" applyFill="1" applyBorder="1" applyAlignment="1">
      <alignment horizontal="left"/>
    </xf>
    <xf numFmtId="3" fontId="25" fillId="3" borderId="0" xfId="47" applyNumberFormat="1" applyFont="1" applyFill="1"/>
    <xf numFmtId="3" fontId="7" fillId="3" borderId="0" xfId="47" applyNumberFormat="1" applyFont="1" applyFill="1"/>
    <xf numFmtId="0" fontId="8" fillId="3" borderId="0" xfId="47" applyFont="1" applyFill="1" applyAlignment="1">
      <alignment vertical="center" wrapText="1"/>
    </xf>
    <xf numFmtId="0" fontId="7" fillId="3" borderId="0" xfId="47" applyFont="1" applyFill="1"/>
    <xf numFmtId="0" fontId="8" fillId="3" borderId="0" xfId="47" applyFont="1" applyFill="1" applyAlignment="1">
      <alignment horizontal="center" vertical="center"/>
    </xf>
    <xf numFmtId="3" fontId="26" fillId="3" borderId="0" xfId="47" applyNumberFormat="1" applyFont="1" applyFill="1" applyAlignment="1">
      <alignment vertical="center"/>
    </xf>
    <xf numFmtId="3" fontId="26" fillId="3" borderId="2" xfId="47" applyNumberFormat="1" applyFont="1" applyFill="1" applyBorder="1" applyAlignment="1">
      <alignment horizontal="center" vertical="center" wrapText="1"/>
    </xf>
    <xf numFmtId="3" fontId="26" fillId="3" borderId="2" xfId="47" applyNumberFormat="1" applyFont="1" applyFill="1" applyBorder="1" applyAlignment="1">
      <alignment vertical="center"/>
    </xf>
    <xf numFmtId="3" fontId="28" fillId="3" borderId="2" xfId="47" applyNumberFormat="1" applyFont="1" applyFill="1" applyBorder="1" applyAlignment="1">
      <alignment horizontal="center" vertical="center" wrapText="1"/>
    </xf>
    <xf numFmtId="3" fontId="27" fillId="3" borderId="0" xfId="47" applyNumberFormat="1" applyFont="1" applyFill="1"/>
    <xf numFmtId="3" fontId="26" fillId="3" borderId="2" xfId="47" applyNumberFormat="1" applyFont="1" applyFill="1" applyBorder="1" applyAlignment="1">
      <alignment vertical="center" wrapText="1"/>
    </xf>
    <xf numFmtId="3" fontId="13" fillId="3" borderId="2" xfId="47" applyNumberFormat="1" applyFont="1" applyFill="1" applyBorder="1" applyAlignment="1">
      <alignment horizontal="center" vertical="center" wrapText="1"/>
    </xf>
    <xf numFmtId="3" fontId="26" fillId="3" borderId="2" xfId="47" applyNumberFormat="1" applyFont="1" applyFill="1" applyBorder="1" applyAlignment="1">
      <alignment horizontal="center" vertical="center"/>
    </xf>
    <xf numFmtId="3" fontId="28" fillId="3" borderId="2" xfId="47" applyNumberFormat="1" applyFont="1" applyFill="1" applyBorder="1" applyAlignment="1">
      <alignment horizontal="center" vertical="center"/>
    </xf>
    <xf numFmtId="3" fontId="27" fillId="3" borderId="2" xfId="47" applyNumberFormat="1" applyFont="1" applyFill="1" applyBorder="1" applyAlignment="1">
      <alignment horizontal="center" vertical="center"/>
    </xf>
    <xf numFmtId="3" fontId="7" fillId="3" borderId="2" xfId="47" applyNumberFormat="1" applyFont="1" applyFill="1" applyBorder="1"/>
    <xf numFmtId="3" fontId="8" fillId="3" borderId="2" xfId="47" applyNumberFormat="1" applyFont="1" applyFill="1" applyBorder="1" applyAlignment="1">
      <alignment horizontal="center" vertical="center"/>
    </xf>
    <xf numFmtId="3" fontId="8" fillId="3" borderId="2" xfId="47" applyNumberFormat="1" applyFont="1" applyFill="1" applyBorder="1" applyAlignment="1">
      <alignment vertical="center"/>
    </xf>
    <xf numFmtId="3" fontId="7" fillId="3" borderId="0" xfId="47" applyNumberFormat="1" applyFont="1" applyFill="1" applyAlignment="1">
      <alignment horizontal="justify" vertical="center"/>
    </xf>
    <xf numFmtId="0" fontId="30" fillId="3" borderId="0" xfId="47" applyFont="1" applyFill="1"/>
    <xf numFmtId="0" fontId="29" fillId="3" borderId="0" xfId="47" applyFont="1" applyFill="1" applyAlignment="1">
      <alignment horizontal="center" vertical="center"/>
    </xf>
    <xf numFmtId="3" fontId="30" fillId="3" borderId="0" xfId="47" applyNumberFormat="1" applyFont="1" applyFill="1"/>
    <xf numFmtId="0" fontId="13" fillId="3" borderId="0" xfId="47" applyFont="1" applyFill="1"/>
    <xf numFmtId="0" fontId="13" fillId="3" borderId="2" xfId="47" applyFont="1" applyFill="1" applyBorder="1" applyAlignment="1">
      <alignment horizontal="center" vertical="center" wrapText="1"/>
    </xf>
    <xf numFmtId="0" fontId="13" fillId="3" borderId="0" xfId="47" applyFont="1" applyFill="1" applyAlignment="1">
      <alignment horizontal="center" vertical="center"/>
    </xf>
    <xf numFmtId="0" fontId="31" fillId="3" borderId="2" xfId="47" applyFont="1" applyFill="1" applyBorder="1" applyAlignment="1">
      <alignment horizontal="center" vertical="center" wrapText="1"/>
    </xf>
    <xf numFmtId="0" fontId="31" fillId="3" borderId="0" xfId="47" applyFont="1" applyFill="1"/>
    <xf numFmtId="0" fontId="31" fillId="3" borderId="2" xfId="47" applyFont="1" applyFill="1" applyBorder="1" applyAlignment="1">
      <alignment horizontal="center" vertical="center"/>
    </xf>
    <xf numFmtId="3" fontId="31" fillId="3" borderId="2" xfId="47" applyNumberFormat="1" applyFont="1" applyFill="1" applyBorder="1" applyAlignment="1">
      <alignment vertical="center"/>
    </xf>
    <xf numFmtId="3" fontId="31" fillId="3" borderId="2" xfId="47" applyNumberFormat="1" applyFont="1" applyFill="1" applyBorder="1" applyAlignment="1">
      <alignment horizontal="center" vertical="center"/>
    </xf>
    <xf numFmtId="0" fontId="31" fillId="3" borderId="0" xfId="47" applyFont="1" applyFill="1" applyBorder="1"/>
    <xf numFmtId="3" fontId="31" fillId="3" borderId="0" xfId="47" applyNumberFormat="1" applyFont="1" applyFill="1" applyBorder="1" applyAlignment="1">
      <alignment horizontal="center" vertical="center"/>
    </xf>
    <xf numFmtId="3" fontId="31" fillId="3" borderId="2" xfId="47" applyNumberFormat="1" applyFont="1" applyFill="1" applyBorder="1" applyAlignment="1">
      <alignment vertical="center" wrapText="1"/>
    </xf>
    <xf numFmtId="3" fontId="32" fillId="3" borderId="2" xfId="47" applyNumberFormat="1" applyFont="1" applyFill="1" applyBorder="1" applyAlignment="1">
      <alignment wrapText="1"/>
    </xf>
    <xf numFmtId="4" fontId="31" fillId="3" borderId="2" xfId="47" applyNumberFormat="1" applyFont="1" applyFill="1" applyBorder="1" applyAlignment="1">
      <alignment wrapText="1"/>
    </xf>
    <xf numFmtId="3" fontId="31" fillId="3" borderId="2" xfId="47" applyNumberFormat="1" applyFont="1" applyFill="1" applyBorder="1" applyAlignment="1">
      <alignment wrapText="1"/>
    </xf>
    <xf numFmtId="4" fontId="31" fillId="3" borderId="2" xfId="47" applyNumberFormat="1" applyFont="1" applyFill="1" applyBorder="1" applyAlignment="1">
      <alignment horizontal="left" vertical="center" wrapText="1"/>
    </xf>
    <xf numFmtId="4" fontId="31" fillId="3" borderId="2" xfId="47" applyNumberFormat="1" applyFont="1" applyFill="1" applyBorder="1" applyAlignment="1">
      <alignment horizontal="left" wrapText="1"/>
    </xf>
    <xf numFmtId="0" fontId="31" fillId="3" borderId="2" xfId="47" applyFont="1" applyFill="1" applyBorder="1" applyAlignment="1">
      <alignment vertical="center"/>
    </xf>
    <xf numFmtId="0" fontId="33" fillId="3" borderId="2" xfId="47" applyFont="1" applyFill="1" applyBorder="1" applyAlignment="1">
      <alignment horizontal="center" vertical="center"/>
    </xf>
    <xf numFmtId="0" fontId="33" fillId="3" borderId="2" xfId="47" applyFont="1" applyFill="1" applyBorder="1" applyAlignment="1">
      <alignment vertical="center"/>
    </xf>
    <xf numFmtId="3" fontId="33" fillId="3" borderId="2" xfId="47" applyNumberFormat="1" applyFont="1" applyFill="1" applyBorder="1" applyAlignment="1">
      <alignment horizontal="center" vertical="center"/>
    </xf>
    <xf numFmtId="3" fontId="31" fillId="3" borderId="0" xfId="47" applyNumberFormat="1" applyFont="1" applyFill="1"/>
    <xf numFmtId="0" fontId="32" fillId="3" borderId="0" xfId="47" applyFont="1" applyFill="1" applyAlignment="1">
      <alignment vertical="center"/>
    </xf>
    <xf numFmtId="0" fontId="32" fillId="3" borderId="0" xfId="47" applyFont="1" applyFill="1"/>
    <xf numFmtId="3" fontId="32" fillId="3" borderId="0" xfId="47" applyNumberFormat="1" applyFont="1" applyFill="1"/>
    <xf numFmtId="4" fontId="13" fillId="3" borderId="6" xfId="47" applyNumberFormat="1" applyFont="1" applyFill="1" applyBorder="1" applyAlignment="1">
      <alignment wrapText="1"/>
    </xf>
    <xf numFmtId="4" fontId="13" fillId="3" borderId="6" xfId="47" applyNumberFormat="1" applyFont="1" applyFill="1" applyBorder="1" applyAlignment="1">
      <alignment horizontal="left" vertical="center" wrapText="1"/>
    </xf>
    <xf numFmtId="0" fontId="7" fillId="3" borderId="0" xfId="47" applyFont="1" applyFill="1" applyAlignment="1">
      <alignment horizontal="center"/>
    </xf>
    <xf numFmtId="3" fontId="7" fillId="3" borderId="0" xfId="47" applyNumberFormat="1" applyFont="1" applyFill="1" applyAlignment="1">
      <alignment horizontal="center"/>
    </xf>
    <xf numFmtId="0" fontId="7" fillId="3" borderId="0" xfId="47" applyFont="1" applyFill="1" applyAlignment="1">
      <alignment vertical="center"/>
    </xf>
    <xf numFmtId="3" fontId="7" fillId="3" borderId="2" xfId="47" applyNumberFormat="1" applyFont="1" applyFill="1" applyBorder="1" applyAlignment="1">
      <alignment horizontal="center" vertical="center"/>
    </xf>
    <xf numFmtId="3" fontId="7" fillId="3" borderId="2" xfId="47" applyNumberFormat="1" applyFont="1" applyFill="1" applyBorder="1" applyAlignment="1">
      <alignment horizontal="center" vertical="center" wrapText="1"/>
    </xf>
    <xf numFmtId="3" fontId="7" fillId="3" borderId="2" xfId="47" applyNumberFormat="1" applyFont="1" applyFill="1" applyBorder="1" applyAlignment="1">
      <alignment horizontal="center" vertical="center" wrapText="1" shrinkToFit="1"/>
    </xf>
    <xf numFmtId="0" fontId="7" fillId="3" borderId="2" xfId="47" applyFont="1" applyFill="1" applyBorder="1" applyAlignment="1">
      <alignment horizontal="center"/>
    </xf>
    <xf numFmtId="0" fontId="7" fillId="3" borderId="2" xfId="47" applyFont="1" applyFill="1" applyBorder="1"/>
    <xf numFmtId="3" fontId="7" fillId="3" borderId="2" xfId="47" applyNumberFormat="1" applyFont="1" applyFill="1" applyBorder="1" applyAlignment="1">
      <alignment horizontal="center"/>
    </xf>
    <xf numFmtId="0" fontId="7" fillId="3" borderId="2" xfId="47" applyFont="1" applyFill="1" applyBorder="1" applyAlignment="1">
      <alignment wrapText="1"/>
    </xf>
    <xf numFmtId="0" fontId="6" fillId="3" borderId="2" xfId="47" applyFont="1" applyFill="1" applyBorder="1"/>
    <xf numFmtId="3" fontId="6" fillId="3" borderId="2" xfId="47" applyNumberFormat="1" applyFont="1" applyFill="1" applyBorder="1" applyAlignment="1">
      <alignment horizontal="center"/>
    </xf>
    <xf numFmtId="3" fontId="40" fillId="3" borderId="2" xfId="47" applyNumberFormat="1" applyFont="1" applyFill="1" applyBorder="1" applyAlignment="1">
      <alignment horizontal="center" vertical="center" wrapText="1"/>
    </xf>
    <xf numFmtId="0" fontId="1" fillId="0" borderId="0" xfId="49"/>
    <xf numFmtId="0" fontId="15" fillId="0" borderId="0" xfId="49" applyFont="1" applyAlignment="1">
      <alignment horizontal="right"/>
    </xf>
    <xf numFmtId="0" fontId="18" fillId="0" borderId="2" xfId="49" applyFont="1" applyBorder="1" applyAlignment="1">
      <alignment horizontal="center" vertical="center"/>
    </xf>
    <xf numFmtId="0" fontId="16" fillId="0" borderId="2" xfId="49" applyFont="1" applyBorder="1" applyAlignment="1">
      <alignment vertical="center" wrapText="1"/>
    </xf>
    <xf numFmtId="3" fontId="18" fillId="0" borderId="2" xfId="49" applyNumberFormat="1" applyFont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43" fillId="4" borderId="2" xfId="49" applyFont="1" applyFill="1" applyBorder="1" applyAlignment="1">
      <alignment horizontal="center" vertical="center"/>
    </xf>
    <xf numFmtId="0" fontId="43" fillId="4" borderId="2" xfId="49" applyFont="1" applyFill="1" applyBorder="1" applyAlignment="1">
      <alignment vertical="center" wrapText="1"/>
    </xf>
    <xf numFmtId="3" fontId="43" fillId="4" borderId="2" xfId="49" applyNumberFormat="1" applyFont="1" applyFill="1" applyBorder="1" applyAlignment="1">
      <alignment horizontal="center" vertical="center" wrapText="1"/>
    </xf>
    <xf numFmtId="3" fontId="1" fillId="0" borderId="0" xfId="49" applyNumberFormat="1"/>
    <xf numFmtId="0" fontId="16" fillId="3" borderId="3" xfId="47" applyFont="1" applyFill="1" applyBorder="1" applyAlignment="1">
      <alignment horizontal="center" vertical="center" wrapText="1"/>
    </xf>
    <xf numFmtId="0" fontId="16" fillId="3" borderId="4" xfId="47" applyFont="1" applyFill="1" applyBorder="1" applyAlignment="1">
      <alignment horizontal="center" vertical="center" wrapText="1"/>
    </xf>
    <xf numFmtId="0" fontId="15" fillId="3" borderId="3" xfId="47" applyFont="1" applyFill="1" applyBorder="1" applyAlignment="1">
      <alignment horizontal="center" vertical="center" wrapText="1"/>
    </xf>
    <xf numFmtId="0" fontId="15" fillId="3" borderId="4" xfId="47" applyFont="1" applyFill="1" applyBorder="1" applyAlignment="1">
      <alignment horizontal="center" vertical="center" wrapText="1"/>
    </xf>
    <xf numFmtId="0" fontId="14" fillId="3" borderId="0" xfId="47" applyFont="1" applyFill="1" applyAlignment="1">
      <alignment horizontal="center" vertical="center" wrapText="1"/>
    </xf>
    <xf numFmtId="0" fontId="14" fillId="3" borderId="1" xfId="47" applyFont="1" applyFill="1" applyBorder="1" applyAlignment="1">
      <alignment horizontal="center" vertical="center" wrapText="1"/>
    </xf>
    <xf numFmtId="0" fontId="16" fillId="3" borderId="7" xfId="47" applyFont="1" applyFill="1" applyBorder="1" applyAlignment="1">
      <alignment horizontal="center" vertical="center" wrapText="1"/>
    </xf>
    <xf numFmtId="0" fontId="16" fillId="3" borderId="2" xfId="47" applyFont="1" applyFill="1" applyBorder="1" applyAlignment="1">
      <alignment horizontal="center" vertical="center" wrapText="1"/>
    </xf>
    <xf numFmtId="0" fontId="16" fillId="3" borderId="5" xfId="47" applyFont="1" applyFill="1" applyBorder="1" applyAlignment="1">
      <alignment horizontal="center" vertical="center" wrapText="1"/>
    </xf>
    <xf numFmtId="0" fontId="16" fillId="3" borderId="6" xfId="47" applyFont="1" applyFill="1" applyBorder="1" applyAlignment="1">
      <alignment horizontal="center" vertical="center" wrapText="1"/>
    </xf>
    <xf numFmtId="2" fontId="29" fillId="3" borderId="0" xfId="47" applyNumberFormat="1" applyFont="1" applyFill="1" applyAlignment="1">
      <alignment horizontal="center" vertical="center" wrapText="1"/>
    </xf>
    <xf numFmtId="0" fontId="30" fillId="3" borderId="0" xfId="47" applyFont="1" applyFill="1" applyAlignment="1">
      <alignment horizontal="center" vertical="center" wrapText="1"/>
    </xf>
    <xf numFmtId="3" fontId="13" fillId="3" borderId="0" xfId="47" applyNumberFormat="1" applyFont="1" applyFill="1" applyBorder="1" applyAlignment="1">
      <alignment horizontal="right" vertical="center"/>
    </xf>
    <xf numFmtId="0" fontId="13" fillId="3" borderId="3" xfId="47" applyFont="1" applyFill="1" applyBorder="1" applyAlignment="1">
      <alignment horizontal="center" vertical="center" wrapText="1"/>
    </xf>
    <xf numFmtId="0" fontId="13" fillId="3" borderId="4" xfId="47" applyFont="1" applyFill="1" applyBorder="1" applyAlignment="1">
      <alignment horizontal="center" vertical="center" wrapText="1"/>
    </xf>
    <xf numFmtId="0" fontId="13" fillId="3" borderId="2" xfId="47" applyFont="1" applyFill="1" applyBorder="1" applyAlignment="1">
      <alignment horizontal="center" vertical="center"/>
    </xf>
    <xf numFmtId="3" fontId="7" fillId="3" borderId="1" xfId="47" applyNumberFormat="1" applyFont="1" applyFill="1" applyBorder="1" applyAlignment="1">
      <alignment horizontal="right"/>
    </xf>
    <xf numFmtId="3" fontId="26" fillId="3" borderId="2" xfId="47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2" fillId="0" borderId="2" xfId="49" applyFont="1" applyBorder="1" applyAlignment="1">
      <alignment horizontal="center" vertical="center" wrapText="1"/>
    </xf>
    <xf numFmtId="0" fontId="14" fillId="0" borderId="0" xfId="49" applyFont="1" applyAlignment="1">
      <alignment horizontal="center" vertical="center" wrapText="1"/>
    </xf>
    <xf numFmtId="0" fontId="42" fillId="0" borderId="2" xfId="49" applyFont="1" applyBorder="1" applyAlignment="1">
      <alignment horizontal="center" vertical="center"/>
    </xf>
    <xf numFmtId="0" fontId="44" fillId="3" borderId="0" xfId="47" applyFont="1" applyFill="1" applyAlignment="1">
      <alignment horizontal="center" vertical="center" wrapText="1"/>
    </xf>
    <xf numFmtId="0" fontId="7" fillId="3" borderId="3" xfId="47" applyFont="1" applyFill="1" applyBorder="1" applyAlignment="1">
      <alignment horizontal="center" vertical="center" wrapText="1"/>
    </xf>
    <xf numFmtId="0" fontId="2" fillId="3" borderId="4" xfId="47" applyFont="1" applyFill="1" applyBorder="1" applyAlignment="1">
      <alignment horizontal="center" vertical="center" wrapText="1"/>
    </xf>
    <xf numFmtId="3" fontId="7" fillId="3" borderId="5" xfId="47" applyNumberFormat="1" applyFont="1" applyFill="1" applyBorder="1" applyAlignment="1">
      <alignment horizontal="center" vertical="center" wrapText="1"/>
    </xf>
    <xf numFmtId="0" fontId="2" fillId="3" borderId="8" xfId="47" applyFont="1" applyFill="1" applyBorder="1" applyAlignment="1">
      <alignment horizontal="center" vertical="center" wrapText="1"/>
    </xf>
    <xf numFmtId="0" fontId="2" fillId="3" borderId="6" xfId="47" applyFont="1" applyFill="1" applyBorder="1" applyAlignment="1">
      <alignment horizontal="center" vertical="center" wrapText="1"/>
    </xf>
    <xf numFmtId="3" fontId="7" fillId="3" borderId="3" xfId="47" applyNumberFormat="1" applyFont="1" applyFill="1" applyBorder="1" applyAlignment="1">
      <alignment horizontal="center" vertical="center" wrapText="1"/>
    </xf>
    <xf numFmtId="3" fontId="2" fillId="3" borderId="4" xfId="47" applyNumberFormat="1" applyFont="1" applyFill="1" applyBorder="1" applyAlignment="1">
      <alignment horizontal="center" vertical="center"/>
    </xf>
    <xf numFmtId="0" fontId="18" fillId="3" borderId="2" xfId="49" applyFont="1" applyFill="1" applyBorder="1" applyAlignment="1">
      <alignment horizontal="center" vertical="center" wrapText="1"/>
    </xf>
    <xf numFmtId="0" fontId="42" fillId="3" borderId="2" xfId="49" applyFont="1" applyFill="1" applyBorder="1" applyAlignment="1">
      <alignment horizontal="center" vertical="center" wrapText="1"/>
    </xf>
    <xf numFmtId="0" fontId="42" fillId="3" borderId="2" xfId="49" applyFont="1" applyFill="1" applyBorder="1" applyAlignment="1">
      <alignment horizontal="center" vertical="center" wrapText="1"/>
    </xf>
    <xf numFmtId="3" fontId="18" fillId="3" borderId="2" xfId="49" applyNumberFormat="1" applyFont="1" applyFill="1" applyBorder="1" applyAlignment="1">
      <alignment horizontal="center" vertical="center" wrapText="1"/>
    </xf>
    <xf numFmtId="0" fontId="26" fillId="3" borderId="2" xfId="49" applyFont="1" applyFill="1" applyBorder="1" applyAlignment="1">
      <alignment horizontal="center" vertical="center" wrapText="1"/>
    </xf>
    <xf numFmtId="3" fontId="26" fillId="3" borderId="2" xfId="49" applyNumberFormat="1" applyFont="1" applyFill="1" applyBorder="1" applyAlignment="1">
      <alignment horizontal="center" vertical="center" wrapText="1"/>
    </xf>
    <xf numFmtId="3" fontId="43" fillId="3" borderId="2" xfId="49" applyNumberFormat="1" applyFont="1" applyFill="1" applyBorder="1" applyAlignment="1">
      <alignment horizontal="center" vertical="center" wrapText="1"/>
    </xf>
    <xf numFmtId="3" fontId="1" fillId="3" borderId="0" xfId="49" applyNumberFormat="1" applyFill="1"/>
  </cellXfs>
  <cellStyles count="50">
    <cellStyle name="Normal_Sheet1" xfId="1"/>
    <cellStyle name="Обычный" xfId="0" builtinId="0"/>
    <cellStyle name="Обычный 10 2" xfId="2"/>
    <cellStyle name="Обычный 14" xfId="3"/>
    <cellStyle name="Обычный 17" xfId="4"/>
    <cellStyle name="Обычный 2" xfId="5"/>
    <cellStyle name="Обычный 2 2" xfId="6"/>
    <cellStyle name="Обычный 2 2 2" xfId="7"/>
    <cellStyle name="Обычный 2 2 2 2" xfId="8"/>
    <cellStyle name="Обычный 2 2 2 3" xfId="9"/>
    <cellStyle name="Обычный 2 2 3" xfId="10"/>
    <cellStyle name="Обычный 2 2 3 2" xfId="11"/>
    <cellStyle name="Обычный 2 2 3 3" xfId="12"/>
    <cellStyle name="Обычный 2 2 4" xfId="13"/>
    <cellStyle name="Обычный 2 2 4 2" xfId="14"/>
    <cellStyle name="Обычный 2 2 4 3" xfId="15"/>
    <cellStyle name="Обычный 2 2 5" xfId="16"/>
    <cellStyle name="Обычный 2 2 5 2" xfId="17"/>
    <cellStyle name="Обычный 2 2 5 3" xfId="18"/>
    <cellStyle name="Обычный 2 2 6" xfId="19"/>
    <cellStyle name="Обычный 2 2 6 2" xfId="20"/>
    <cellStyle name="Обычный 2 2 6 3" xfId="21"/>
    <cellStyle name="Обычный 2 2 7" xfId="22"/>
    <cellStyle name="Обычный 2 2 7 2" xfId="23"/>
    <cellStyle name="Обычный 2 2 7 3" xfId="24"/>
    <cellStyle name="Обычный 2 2 8" xfId="25"/>
    <cellStyle name="Обычный 2 2 9" xfId="26"/>
    <cellStyle name="Обычный 2 3" xfId="27"/>
    <cellStyle name="Обычный 2 4" xfId="28"/>
    <cellStyle name="Обычный 2 5" xfId="29"/>
    <cellStyle name="Обычный 2 6" xfId="30"/>
    <cellStyle name="Обычный 2 7" xfId="31"/>
    <cellStyle name="Обычный 3" xfId="32"/>
    <cellStyle name="Обычный 3 2" xfId="33"/>
    <cellStyle name="Обычный 3 3" xfId="34"/>
    <cellStyle name="Обычный 3 4" xfId="35"/>
    <cellStyle name="Обычный 3 5" xfId="36"/>
    <cellStyle name="Обычный 3 6" xfId="37"/>
    <cellStyle name="Обычный 3 7" xfId="38"/>
    <cellStyle name="Обычный 3 8" xfId="39"/>
    <cellStyle name="Обычный 4" xfId="40"/>
    <cellStyle name="Обычный 5" xfId="43"/>
    <cellStyle name="Обычный 6" xfId="47"/>
    <cellStyle name="Обычный 6 4" xfId="41"/>
    <cellStyle name="Обычный 7" xfId="49"/>
    <cellStyle name="Обычный_Ежемесячный отчет 2004 г." xfId="44"/>
    <cellStyle name="Обычный_Лист1" xfId="46"/>
    <cellStyle name="Процентный 2" xfId="42"/>
    <cellStyle name="Финансовый 2" xfId="45"/>
    <cellStyle name="Финансовый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&#1054;&#1073;&#1098;&#1077;&#1084;&#1099;/2018%20&#1075;/&#1043;&#1077;&#1084;&#1086;&#1076;&#1080;&#1072;&#1083;&#1080;&#107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модиализ"/>
      <sheetName val="Пр.№ 82"/>
      <sheetName val="82-гемод."/>
      <sheetName val="Пр.№ 83"/>
      <sheetName val="83-82"/>
    </sheetNames>
    <sheetDataSet>
      <sheetData sheetId="0">
        <row r="17">
          <cell r="C17">
            <v>178123</v>
          </cell>
          <cell r="D17">
            <v>50</v>
          </cell>
          <cell r="E17">
            <v>198</v>
          </cell>
          <cell r="F17">
            <v>120</v>
          </cell>
          <cell r="G17">
            <v>15</v>
          </cell>
          <cell r="H17">
            <v>712</v>
          </cell>
          <cell r="I17">
            <v>16679</v>
          </cell>
          <cell r="J17">
            <v>18537</v>
          </cell>
          <cell r="K17">
            <v>1736</v>
          </cell>
          <cell r="L17">
            <v>4668</v>
          </cell>
          <cell r="M17">
            <v>118772</v>
          </cell>
          <cell r="N17">
            <v>15541</v>
          </cell>
          <cell r="O17">
            <v>1095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zoomScale="120" zoomScaleNormal="120" workbookViewId="0">
      <pane xSplit="2" ySplit="7" topLeftCell="C26" activePane="bottomRight" state="frozen"/>
      <selection pane="topRight" activeCell="C1" sqref="C1"/>
      <selection pane="bottomLeft" activeCell="A7" sqref="A7"/>
      <selection pane="bottomRight" activeCell="C3" sqref="C3:C6"/>
    </sheetView>
  </sheetViews>
  <sheetFormatPr defaultRowHeight="15"/>
  <cols>
    <col min="1" max="1" width="3.5703125" style="27" customWidth="1"/>
    <col min="2" max="2" width="31.140625" style="48" customWidth="1"/>
    <col min="3" max="4" width="10.7109375" style="27" customWidth="1"/>
    <col min="5" max="5" width="9.140625" style="27"/>
    <col min="6" max="6" width="9.140625" style="49"/>
    <col min="7" max="7" width="9.140625" style="27"/>
    <col min="8" max="8" width="12.28515625" style="27" customWidth="1"/>
    <col min="9" max="9" width="9.140625" style="27"/>
    <col min="10" max="10" width="11.28515625" style="27" customWidth="1"/>
    <col min="11" max="16384" width="9.140625" style="27"/>
  </cols>
  <sheetData>
    <row r="1" spans="1:11" ht="18.75" customHeight="1">
      <c r="A1" s="133" t="s">
        <v>292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31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s="29" customFormat="1" ht="12.75" customHeight="1">
      <c r="A3" s="129" t="s">
        <v>36</v>
      </c>
      <c r="B3" s="129" t="s">
        <v>37</v>
      </c>
      <c r="C3" s="129" t="s">
        <v>267</v>
      </c>
      <c r="D3" s="129" t="s">
        <v>268</v>
      </c>
      <c r="E3" s="136" t="s">
        <v>269</v>
      </c>
      <c r="F3" s="136"/>
      <c r="G3" s="136"/>
      <c r="H3" s="136"/>
      <c r="I3" s="136"/>
      <c r="J3" s="136"/>
      <c r="K3" s="28"/>
    </row>
    <row r="4" spans="1:11" s="29" customFormat="1" ht="12" customHeight="1">
      <c r="A4" s="135"/>
      <c r="B4" s="135"/>
      <c r="C4" s="135"/>
      <c r="D4" s="135"/>
      <c r="E4" s="129" t="s">
        <v>35</v>
      </c>
      <c r="F4" s="136" t="s">
        <v>39</v>
      </c>
      <c r="G4" s="136"/>
      <c r="H4" s="136"/>
      <c r="I4" s="136"/>
      <c r="J4" s="136"/>
      <c r="K4" s="28"/>
    </row>
    <row r="5" spans="1:11" s="29" customFormat="1" ht="20.25" customHeight="1">
      <c r="A5" s="135"/>
      <c r="B5" s="135"/>
      <c r="C5" s="135"/>
      <c r="D5" s="135"/>
      <c r="E5" s="135"/>
      <c r="F5" s="137" t="s">
        <v>270</v>
      </c>
      <c r="G5" s="138"/>
      <c r="H5" s="129" t="s">
        <v>271</v>
      </c>
      <c r="I5" s="129" t="s">
        <v>272</v>
      </c>
      <c r="J5" s="131" t="s">
        <v>273</v>
      </c>
      <c r="K5" s="28"/>
    </row>
    <row r="6" spans="1:11" s="29" customFormat="1" ht="45">
      <c r="A6" s="130"/>
      <c r="B6" s="130"/>
      <c r="C6" s="130"/>
      <c r="D6" s="130"/>
      <c r="E6" s="130"/>
      <c r="F6" s="30" t="s">
        <v>53</v>
      </c>
      <c r="G6" s="31" t="s">
        <v>54</v>
      </c>
      <c r="H6" s="130"/>
      <c r="I6" s="130"/>
      <c r="J6" s="132"/>
      <c r="K6" s="28"/>
    </row>
    <row r="7" spans="1:11" ht="11.25" customHeight="1">
      <c r="A7" s="32">
        <v>1</v>
      </c>
      <c r="B7" s="33">
        <v>2</v>
      </c>
      <c r="C7" s="32">
        <v>3</v>
      </c>
      <c r="D7" s="33">
        <v>4</v>
      </c>
      <c r="E7" s="32">
        <v>5</v>
      </c>
      <c r="F7" s="33">
        <v>6</v>
      </c>
      <c r="G7" s="32">
        <v>7</v>
      </c>
      <c r="H7" s="33">
        <v>8</v>
      </c>
      <c r="I7" s="32">
        <v>9</v>
      </c>
      <c r="J7" s="33">
        <v>10</v>
      </c>
      <c r="K7" s="34"/>
    </row>
    <row r="8" spans="1:11" ht="10.5" customHeight="1">
      <c r="A8" s="32">
        <v>1</v>
      </c>
      <c r="B8" s="35" t="s">
        <v>55</v>
      </c>
      <c r="C8" s="36">
        <v>50339</v>
      </c>
      <c r="D8" s="36"/>
      <c r="E8" s="36">
        <f>F8+G8+H8+I8+J8</f>
        <v>175954</v>
      </c>
      <c r="F8" s="36">
        <v>34901</v>
      </c>
      <c r="G8" s="36">
        <v>138817</v>
      </c>
      <c r="H8" s="36"/>
      <c r="I8" s="36">
        <v>2236</v>
      </c>
      <c r="J8" s="36"/>
      <c r="K8" s="34"/>
    </row>
    <row r="9" spans="1:11" ht="10.5" customHeight="1">
      <c r="A9" s="32">
        <v>2</v>
      </c>
      <c r="B9" s="35" t="s">
        <v>56</v>
      </c>
      <c r="C9" s="36">
        <v>22449</v>
      </c>
      <c r="D9" s="36"/>
      <c r="E9" s="36">
        <f t="shared" ref="E9:E81" si="0">F9+G9+H9+I9+J9</f>
        <v>77611</v>
      </c>
      <c r="F9" s="36">
        <v>16174</v>
      </c>
      <c r="G9" s="36">
        <v>61437</v>
      </c>
      <c r="H9" s="36"/>
      <c r="I9" s="36"/>
      <c r="J9" s="36"/>
      <c r="K9" s="34"/>
    </row>
    <row r="10" spans="1:11" ht="10.5" customHeight="1">
      <c r="A10" s="32">
        <v>3</v>
      </c>
      <c r="B10" s="35" t="s">
        <v>57</v>
      </c>
      <c r="C10" s="36">
        <v>12956</v>
      </c>
      <c r="D10" s="36"/>
      <c r="E10" s="36">
        <f t="shared" si="0"/>
        <v>47643</v>
      </c>
      <c r="F10" s="36">
        <v>8551</v>
      </c>
      <c r="G10" s="36">
        <v>39092</v>
      </c>
      <c r="H10" s="36"/>
      <c r="I10" s="36"/>
      <c r="J10" s="36"/>
      <c r="K10" s="34"/>
    </row>
    <row r="11" spans="1:11" ht="10.5" customHeight="1">
      <c r="A11" s="32">
        <v>4</v>
      </c>
      <c r="B11" s="35" t="s">
        <v>58</v>
      </c>
      <c r="C11" s="36">
        <v>8613</v>
      </c>
      <c r="D11" s="36"/>
      <c r="E11" s="36">
        <f t="shared" si="0"/>
        <v>29766</v>
      </c>
      <c r="F11" s="36">
        <v>6914</v>
      </c>
      <c r="G11" s="36">
        <v>22852</v>
      </c>
      <c r="H11" s="36"/>
      <c r="I11" s="36"/>
      <c r="J11" s="36"/>
      <c r="K11" s="34"/>
    </row>
    <row r="12" spans="1:11" ht="10.5" customHeight="1">
      <c r="A12" s="32">
        <v>5</v>
      </c>
      <c r="B12" s="35" t="s">
        <v>59</v>
      </c>
      <c r="C12" s="36">
        <v>15782</v>
      </c>
      <c r="D12" s="36"/>
      <c r="E12" s="36">
        <f t="shared" si="0"/>
        <v>55878</v>
      </c>
      <c r="F12" s="36">
        <v>13525</v>
      </c>
      <c r="G12" s="36">
        <v>42353</v>
      </c>
      <c r="H12" s="36"/>
      <c r="I12" s="36"/>
      <c r="J12" s="36"/>
      <c r="K12" s="34"/>
    </row>
    <row r="13" spans="1:11" ht="10.5" customHeight="1">
      <c r="A13" s="32">
        <v>6</v>
      </c>
      <c r="B13" s="35" t="s">
        <v>60</v>
      </c>
      <c r="C13" s="36">
        <v>24956</v>
      </c>
      <c r="D13" s="36"/>
      <c r="E13" s="36">
        <f t="shared" si="0"/>
        <v>86259</v>
      </c>
      <c r="F13" s="36">
        <v>19600</v>
      </c>
      <c r="G13" s="36">
        <v>66659</v>
      </c>
      <c r="H13" s="36"/>
      <c r="I13" s="36"/>
      <c r="J13" s="36"/>
      <c r="K13" s="34"/>
    </row>
    <row r="14" spans="1:11" ht="10.5" customHeight="1">
      <c r="A14" s="32">
        <v>7</v>
      </c>
      <c r="B14" s="35" t="s">
        <v>61</v>
      </c>
      <c r="C14" s="36">
        <v>500</v>
      </c>
      <c r="D14" s="36"/>
      <c r="E14" s="36">
        <f t="shared" si="0"/>
        <v>400</v>
      </c>
      <c r="F14" s="36"/>
      <c r="G14" s="36"/>
      <c r="H14" s="36">
        <v>400</v>
      </c>
      <c r="I14" s="36"/>
      <c r="J14" s="36"/>
      <c r="K14" s="34"/>
    </row>
    <row r="15" spans="1:11" ht="10.5" customHeight="1">
      <c r="A15" s="32">
        <v>8</v>
      </c>
      <c r="B15" s="35" t="s">
        <v>62</v>
      </c>
      <c r="C15" s="36">
        <v>500</v>
      </c>
      <c r="D15" s="36"/>
      <c r="E15" s="36">
        <f t="shared" si="0"/>
        <v>200</v>
      </c>
      <c r="F15" s="36"/>
      <c r="G15" s="36"/>
      <c r="H15" s="36">
        <v>200</v>
      </c>
      <c r="I15" s="36"/>
      <c r="J15" s="36"/>
      <c r="K15" s="34"/>
    </row>
    <row r="16" spans="1:11" ht="10.5" customHeight="1">
      <c r="A16" s="32">
        <v>9</v>
      </c>
      <c r="B16" s="35" t="s">
        <v>63</v>
      </c>
      <c r="C16" s="36">
        <v>500</v>
      </c>
      <c r="D16" s="36"/>
      <c r="E16" s="36">
        <f t="shared" si="0"/>
        <v>1000</v>
      </c>
      <c r="F16" s="36"/>
      <c r="G16" s="36"/>
      <c r="H16" s="36">
        <v>1000</v>
      </c>
      <c r="I16" s="36"/>
      <c r="J16" s="36"/>
      <c r="K16" s="34"/>
    </row>
    <row r="17" spans="1:11" ht="10.5" customHeight="1">
      <c r="A17" s="32">
        <v>10</v>
      </c>
      <c r="B17" s="35" t="s">
        <v>64</v>
      </c>
      <c r="C17" s="36">
        <v>500</v>
      </c>
      <c r="D17" s="36"/>
      <c r="E17" s="36">
        <f t="shared" si="0"/>
        <v>200</v>
      </c>
      <c r="F17" s="36"/>
      <c r="G17" s="36"/>
      <c r="H17" s="36">
        <v>200</v>
      </c>
      <c r="I17" s="36"/>
      <c r="J17" s="36"/>
      <c r="K17" s="34"/>
    </row>
    <row r="18" spans="1:11" ht="10.5" customHeight="1">
      <c r="A18" s="32">
        <v>11</v>
      </c>
      <c r="B18" s="35" t="s">
        <v>65</v>
      </c>
      <c r="C18" s="36"/>
      <c r="D18" s="36"/>
      <c r="E18" s="36">
        <f t="shared" si="0"/>
        <v>200</v>
      </c>
      <c r="F18" s="36"/>
      <c r="G18" s="36"/>
      <c r="H18" s="36">
        <v>200</v>
      </c>
      <c r="I18" s="36"/>
      <c r="J18" s="36"/>
      <c r="K18" s="34"/>
    </row>
    <row r="19" spans="1:11" ht="10.5" customHeight="1">
      <c r="A19" s="32">
        <v>12</v>
      </c>
      <c r="B19" s="35" t="s">
        <v>274</v>
      </c>
      <c r="C19" s="36"/>
      <c r="D19" s="36"/>
      <c r="E19" s="36">
        <f t="shared" si="0"/>
        <v>1000</v>
      </c>
      <c r="F19" s="36"/>
      <c r="G19" s="36"/>
      <c r="H19" s="36">
        <v>1000</v>
      </c>
      <c r="I19" s="36"/>
      <c r="J19" s="36"/>
      <c r="K19" s="34"/>
    </row>
    <row r="20" spans="1:11" ht="10.5" customHeight="1">
      <c r="A20" s="32">
        <v>13</v>
      </c>
      <c r="B20" s="35" t="s">
        <v>66</v>
      </c>
      <c r="C20" s="36">
        <v>57740</v>
      </c>
      <c r="D20" s="36"/>
      <c r="E20" s="36">
        <f t="shared" si="0"/>
        <v>205185</v>
      </c>
      <c r="F20" s="36">
        <v>59381</v>
      </c>
      <c r="G20" s="36">
        <v>140270</v>
      </c>
      <c r="H20" s="36"/>
      <c r="I20" s="36">
        <v>5534</v>
      </c>
      <c r="J20" s="36"/>
      <c r="K20" s="34"/>
    </row>
    <row r="21" spans="1:11" ht="10.5" customHeight="1">
      <c r="A21" s="32">
        <v>14</v>
      </c>
      <c r="B21" s="35" t="s">
        <v>67</v>
      </c>
      <c r="C21" s="36">
        <v>40919</v>
      </c>
      <c r="D21" s="36"/>
      <c r="E21" s="36">
        <f t="shared" si="0"/>
        <v>141494</v>
      </c>
      <c r="F21" s="36">
        <v>49615</v>
      </c>
      <c r="G21" s="36">
        <v>91879</v>
      </c>
      <c r="H21" s="36"/>
      <c r="I21" s="36"/>
      <c r="J21" s="36"/>
    </row>
    <row r="22" spans="1:11" ht="10.5" customHeight="1">
      <c r="A22" s="32">
        <v>15</v>
      </c>
      <c r="B22" s="35" t="s">
        <v>68</v>
      </c>
      <c r="C22" s="36">
        <v>23739</v>
      </c>
      <c r="D22" s="36"/>
      <c r="E22" s="36">
        <f t="shared" si="0"/>
        <v>81547</v>
      </c>
      <c r="F22" s="36">
        <v>10186</v>
      </c>
      <c r="G22" s="36">
        <v>71361</v>
      </c>
      <c r="H22" s="36"/>
      <c r="I22" s="36"/>
      <c r="J22" s="36"/>
    </row>
    <row r="23" spans="1:11" ht="10.5" customHeight="1">
      <c r="A23" s="32">
        <v>16</v>
      </c>
      <c r="B23" s="35" t="s">
        <v>69</v>
      </c>
      <c r="C23" s="36">
        <v>10235</v>
      </c>
      <c r="D23" s="36"/>
      <c r="E23" s="36">
        <f t="shared" si="0"/>
        <v>35433</v>
      </c>
      <c r="F23" s="36">
        <v>10617</v>
      </c>
      <c r="G23" s="36">
        <v>24816</v>
      </c>
      <c r="H23" s="36"/>
      <c r="I23" s="36"/>
      <c r="J23" s="36"/>
    </row>
    <row r="24" spans="1:11" ht="10.5" customHeight="1">
      <c r="A24" s="32">
        <v>17</v>
      </c>
      <c r="B24" s="35" t="s">
        <v>70</v>
      </c>
      <c r="C24" s="36"/>
      <c r="D24" s="36"/>
      <c r="E24" s="36">
        <f t="shared" si="0"/>
        <v>600</v>
      </c>
      <c r="F24" s="36"/>
      <c r="G24" s="36"/>
      <c r="H24" s="36">
        <v>600</v>
      </c>
      <c r="I24" s="36"/>
      <c r="J24" s="36"/>
    </row>
    <row r="25" spans="1:11" ht="10.5" customHeight="1">
      <c r="A25" s="32">
        <v>18</v>
      </c>
      <c r="B25" s="35" t="s">
        <v>71</v>
      </c>
      <c r="C25" s="36">
        <v>8478</v>
      </c>
      <c r="D25" s="36"/>
      <c r="E25" s="36">
        <f t="shared" si="0"/>
        <v>29975</v>
      </c>
      <c r="F25" s="36">
        <v>7494</v>
      </c>
      <c r="G25" s="36">
        <v>22481</v>
      </c>
      <c r="H25" s="36"/>
      <c r="I25" s="36"/>
      <c r="J25" s="36"/>
    </row>
    <row r="26" spans="1:11" ht="10.5" customHeight="1">
      <c r="A26" s="32">
        <v>19</v>
      </c>
      <c r="B26" s="35" t="s">
        <v>72</v>
      </c>
      <c r="C26" s="36">
        <v>31182</v>
      </c>
      <c r="D26" s="36"/>
      <c r="E26" s="36">
        <f t="shared" si="0"/>
        <v>99336</v>
      </c>
      <c r="F26" s="36">
        <v>22463</v>
      </c>
      <c r="G26" s="36">
        <v>72675</v>
      </c>
      <c r="H26" s="36"/>
      <c r="I26" s="36">
        <v>4198</v>
      </c>
      <c r="J26" s="36"/>
    </row>
    <row r="27" spans="1:11" ht="23.25" customHeight="1">
      <c r="A27" s="32">
        <v>20</v>
      </c>
      <c r="B27" s="37" t="s">
        <v>73</v>
      </c>
      <c r="C27" s="36">
        <v>1100</v>
      </c>
      <c r="D27" s="36"/>
      <c r="E27" s="36">
        <f t="shared" si="0"/>
        <v>16424</v>
      </c>
      <c r="F27" s="36">
        <v>0</v>
      </c>
      <c r="G27" s="36">
        <v>0</v>
      </c>
      <c r="H27" s="36">
        <f>16500-76</f>
        <v>16424</v>
      </c>
      <c r="I27" s="36"/>
      <c r="J27" s="36"/>
    </row>
    <row r="28" spans="1:11" ht="10.5" customHeight="1">
      <c r="A28" s="32">
        <v>21</v>
      </c>
      <c r="B28" s="35" t="s">
        <v>74</v>
      </c>
      <c r="C28" s="36">
        <v>32329</v>
      </c>
      <c r="D28" s="36"/>
      <c r="E28" s="36">
        <f t="shared" si="0"/>
        <v>106575</v>
      </c>
      <c r="F28" s="36">
        <v>24192</v>
      </c>
      <c r="G28" s="36">
        <v>82383</v>
      </c>
      <c r="H28" s="36"/>
      <c r="I28" s="36"/>
      <c r="J28" s="36"/>
    </row>
    <row r="29" spans="1:11" ht="10.5" customHeight="1">
      <c r="A29" s="32">
        <v>22</v>
      </c>
      <c r="B29" s="35" t="s">
        <v>75</v>
      </c>
      <c r="C29" s="36">
        <v>1800</v>
      </c>
      <c r="D29" s="36"/>
      <c r="E29" s="36">
        <f t="shared" si="0"/>
        <v>10000</v>
      </c>
      <c r="F29" s="36">
        <v>0</v>
      </c>
      <c r="G29" s="36">
        <v>0</v>
      </c>
      <c r="H29" s="36">
        <v>10000</v>
      </c>
      <c r="I29" s="36"/>
      <c r="J29" s="36"/>
    </row>
    <row r="30" spans="1:11" ht="10.5" customHeight="1">
      <c r="A30" s="32">
        <v>23</v>
      </c>
      <c r="B30" s="35" t="s">
        <v>76</v>
      </c>
      <c r="C30" s="36">
        <v>75838</v>
      </c>
      <c r="D30" s="36"/>
      <c r="E30" s="36">
        <f t="shared" si="0"/>
        <v>260908</v>
      </c>
      <c r="F30" s="36">
        <v>61414</v>
      </c>
      <c r="G30" s="36">
        <v>192730</v>
      </c>
      <c r="H30" s="36"/>
      <c r="I30" s="36">
        <v>6764</v>
      </c>
      <c r="J30" s="36"/>
    </row>
    <row r="31" spans="1:11" s="39" customFormat="1" ht="48" customHeight="1">
      <c r="A31" s="32">
        <v>24</v>
      </c>
      <c r="B31" s="2" t="s">
        <v>275</v>
      </c>
      <c r="C31" s="38">
        <v>9839</v>
      </c>
      <c r="D31" s="38"/>
      <c r="E31" s="38">
        <f t="shared" si="0"/>
        <v>33992</v>
      </c>
      <c r="F31" s="38">
        <v>9255</v>
      </c>
      <c r="G31" s="38">
        <v>24737</v>
      </c>
      <c r="H31" s="38"/>
      <c r="I31" s="38"/>
      <c r="J31" s="38"/>
    </row>
    <row r="32" spans="1:11" ht="10.5" customHeight="1">
      <c r="A32" s="32">
        <v>25</v>
      </c>
      <c r="B32" s="35" t="s">
        <v>78</v>
      </c>
      <c r="C32" s="36">
        <v>25819</v>
      </c>
      <c r="D32" s="36"/>
      <c r="E32" s="36">
        <f t="shared" si="0"/>
        <v>89259</v>
      </c>
      <c r="F32" s="36">
        <v>27553</v>
      </c>
      <c r="G32" s="36">
        <v>61706</v>
      </c>
      <c r="H32" s="36"/>
      <c r="I32" s="36"/>
      <c r="J32" s="36"/>
    </row>
    <row r="33" spans="1:10" ht="10.5" customHeight="1">
      <c r="A33" s="32">
        <v>26</v>
      </c>
      <c r="B33" s="35" t="s">
        <v>79</v>
      </c>
      <c r="C33" s="36">
        <v>12066</v>
      </c>
      <c r="D33" s="36"/>
      <c r="E33" s="36">
        <f t="shared" si="0"/>
        <v>41720</v>
      </c>
      <c r="F33" s="36">
        <v>9122</v>
      </c>
      <c r="G33" s="36">
        <v>32598</v>
      </c>
      <c r="H33" s="36"/>
      <c r="I33" s="36"/>
      <c r="J33" s="36"/>
    </row>
    <row r="34" spans="1:10" ht="10.5" customHeight="1">
      <c r="A34" s="32">
        <v>27</v>
      </c>
      <c r="B34" s="35" t="s">
        <v>80</v>
      </c>
      <c r="C34" s="36">
        <v>11669</v>
      </c>
      <c r="D34" s="36"/>
      <c r="E34" s="36">
        <f t="shared" si="0"/>
        <v>40134</v>
      </c>
      <c r="F34" s="36">
        <f>8112</f>
        <v>8112</v>
      </c>
      <c r="G34" s="36">
        <v>32022</v>
      </c>
      <c r="H34" s="36"/>
      <c r="I34" s="36"/>
      <c r="J34" s="36"/>
    </row>
    <row r="35" spans="1:10" ht="10.5" customHeight="1">
      <c r="A35" s="32">
        <v>28</v>
      </c>
      <c r="B35" s="35" t="s">
        <v>81</v>
      </c>
      <c r="C35" s="36">
        <v>13368</v>
      </c>
      <c r="D35" s="36"/>
      <c r="E35" s="36">
        <f t="shared" si="0"/>
        <v>46191</v>
      </c>
      <c r="F35" s="36">
        <v>9880</v>
      </c>
      <c r="G35" s="36">
        <v>36311</v>
      </c>
      <c r="H35" s="36"/>
      <c r="I35" s="36"/>
      <c r="J35" s="36"/>
    </row>
    <row r="36" spans="1:10" ht="10.5" customHeight="1">
      <c r="A36" s="32">
        <v>29</v>
      </c>
      <c r="B36" s="35" t="s">
        <v>82</v>
      </c>
      <c r="C36" s="36">
        <v>13643</v>
      </c>
      <c r="D36" s="36"/>
      <c r="E36" s="36">
        <f t="shared" si="0"/>
        <v>47168</v>
      </c>
      <c r="F36" s="36">
        <v>10987</v>
      </c>
      <c r="G36" s="36">
        <v>36181</v>
      </c>
      <c r="H36" s="36"/>
      <c r="I36" s="36"/>
      <c r="J36" s="36"/>
    </row>
    <row r="37" spans="1:10" ht="10.5" customHeight="1">
      <c r="A37" s="32">
        <v>30</v>
      </c>
      <c r="B37" s="35" t="s">
        <v>83</v>
      </c>
      <c r="C37" s="36">
        <v>15174</v>
      </c>
      <c r="D37" s="36"/>
      <c r="E37" s="36">
        <f t="shared" si="0"/>
        <v>52469</v>
      </c>
      <c r="F37" s="36">
        <v>17380</v>
      </c>
      <c r="G37" s="36">
        <v>35089</v>
      </c>
      <c r="H37" s="36"/>
      <c r="I37" s="36"/>
      <c r="J37" s="36"/>
    </row>
    <row r="38" spans="1:10" ht="10.5" customHeight="1">
      <c r="A38" s="32">
        <v>31</v>
      </c>
      <c r="B38" s="35" t="s">
        <v>84</v>
      </c>
      <c r="C38" s="36">
        <v>14237</v>
      </c>
      <c r="D38" s="36"/>
      <c r="E38" s="36">
        <f t="shared" si="0"/>
        <v>49214</v>
      </c>
      <c r="F38" s="36">
        <v>7268</v>
      </c>
      <c r="G38" s="36">
        <v>41946</v>
      </c>
      <c r="H38" s="36"/>
      <c r="I38" s="36"/>
      <c r="J38" s="36"/>
    </row>
    <row r="39" spans="1:10" ht="10.5" customHeight="1">
      <c r="A39" s="32">
        <v>32</v>
      </c>
      <c r="B39" s="35" t="s">
        <v>85</v>
      </c>
      <c r="C39" s="36">
        <v>15237</v>
      </c>
      <c r="D39" s="36"/>
      <c r="E39" s="36">
        <f t="shared" si="0"/>
        <v>52675</v>
      </c>
      <c r="F39" s="36">
        <v>12401</v>
      </c>
      <c r="G39" s="36">
        <v>40274</v>
      </c>
      <c r="H39" s="36"/>
      <c r="I39" s="36"/>
      <c r="J39" s="36"/>
    </row>
    <row r="40" spans="1:10" ht="10.5" customHeight="1">
      <c r="A40" s="32">
        <v>33</v>
      </c>
      <c r="B40" s="35" t="s">
        <v>86</v>
      </c>
      <c r="C40" s="36">
        <v>14142</v>
      </c>
      <c r="D40" s="36"/>
      <c r="E40" s="36">
        <f t="shared" si="0"/>
        <v>48910</v>
      </c>
      <c r="F40" s="36">
        <v>10350</v>
      </c>
      <c r="G40" s="36">
        <v>38560</v>
      </c>
      <c r="H40" s="36"/>
      <c r="I40" s="36"/>
      <c r="J40" s="36"/>
    </row>
    <row r="41" spans="1:10" ht="10.5" customHeight="1">
      <c r="A41" s="32">
        <v>34</v>
      </c>
      <c r="B41" s="35" t="s">
        <v>87</v>
      </c>
      <c r="C41" s="36">
        <v>200</v>
      </c>
      <c r="D41" s="36"/>
      <c r="E41" s="36">
        <f t="shared" si="0"/>
        <v>1222</v>
      </c>
      <c r="F41" s="36"/>
      <c r="G41" s="36"/>
      <c r="H41" s="36">
        <v>1222</v>
      </c>
      <c r="I41" s="36"/>
      <c r="J41" s="36"/>
    </row>
    <row r="42" spans="1:10" ht="10.5" customHeight="1">
      <c r="A42" s="32">
        <v>35</v>
      </c>
      <c r="B42" s="35" t="s">
        <v>88</v>
      </c>
      <c r="C42" s="36">
        <v>200</v>
      </c>
      <c r="D42" s="36"/>
      <c r="E42" s="36">
        <f t="shared" si="0"/>
        <v>1222</v>
      </c>
      <c r="F42" s="36"/>
      <c r="G42" s="36"/>
      <c r="H42" s="36">
        <v>1222</v>
      </c>
      <c r="I42" s="36"/>
      <c r="J42" s="36"/>
    </row>
    <row r="43" spans="1:10" ht="10.5" customHeight="1">
      <c r="A43" s="32">
        <v>36</v>
      </c>
      <c r="B43" s="35" t="s">
        <v>89</v>
      </c>
      <c r="C43" s="36"/>
      <c r="D43" s="36"/>
      <c r="E43" s="36">
        <f t="shared" si="0"/>
        <v>1222</v>
      </c>
      <c r="F43" s="36"/>
      <c r="G43" s="36"/>
      <c r="H43" s="36">
        <v>1222</v>
      </c>
      <c r="I43" s="36"/>
      <c r="J43" s="36"/>
    </row>
    <row r="44" spans="1:10" ht="10.5" customHeight="1">
      <c r="A44" s="32">
        <v>37</v>
      </c>
      <c r="B44" s="35" t="s">
        <v>90</v>
      </c>
      <c r="C44" s="36"/>
      <c r="D44" s="36"/>
      <c r="E44" s="36">
        <f t="shared" si="0"/>
        <v>1222</v>
      </c>
      <c r="F44" s="36"/>
      <c r="G44" s="36"/>
      <c r="H44" s="36">
        <v>1222</v>
      </c>
      <c r="I44" s="36"/>
      <c r="J44" s="36"/>
    </row>
    <row r="45" spans="1:10" ht="10.5" customHeight="1">
      <c r="A45" s="32">
        <v>38</v>
      </c>
      <c r="B45" s="35" t="s">
        <v>91</v>
      </c>
      <c r="C45" s="36"/>
      <c r="D45" s="36"/>
      <c r="E45" s="36">
        <f t="shared" si="0"/>
        <v>0</v>
      </c>
      <c r="F45" s="36"/>
      <c r="G45" s="36"/>
      <c r="H45" s="36">
        <f>1500-1500</f>
        <v>0</v>
      </c>
      <c r="I45" s="36"/>
      <c r="J45" s="36"/>
    </row>
    <row r="46" spans="1:10" ht="10.5" customHeight="1">
      <c r="A46" s="32">
        <v>39</v>
      </c>
      <c r="B46" s="35" t="s">
        <v>276</v>
      </c>
      <c r="C46" s="36">
        <v>200</v>
      </c>
      <c r="D46" s="36"/>
      <c r="E46" s="36">
        <f t="shared" si="0"/>
        <v>1222</v>
      </c>
      <c r="F46" s="36"/>
      <c r="G46" s="36"/>
      <c r="H46" s="36">
        <v>1222</v>
      </c>
      <c r="I46" s="36"/>
      <c r="J46" s="36"/>
    </row>
    <row r="47" spans="1:10" ht="10.5" customHeight="1">
      <c r="A47" s="32">
        <v>40</v>
      </c>
      <c r="B47" s="35" t="s">
        <v>277</v>
      </c>
      <c r="C47" s="36"/>
      <c r="D47" s="36"/>
      <c r="E47" s="36">
        <f t="shared" si="0"/>
        <v>1200</v>
      </c>
      <c r="F47" s="36"/>
      <c r="G47" s="36"/>
      <c r="H47" s="36">
        <v>1200</v>
      </c>
      <c r="I47" s="36"/>
      <c r="J47" s="36"/>
    </row>
    <row r="48" spans="1:10" ht="10.5" customHeight="1">
      <c r="A48" s="32">
        <v>41</v>
      </c>
      <c r="B48" s="35" t="s">
        <v>92</v>
      </c>
      <c r="C48" s="36"/>
      <c r="D48" s="36"/>
      <c r="E48" s="36">
        <f t="shared" si="0"/>
        <v>0</v>
      </c>
      <c r="F48" s="36"/>
      <c r="G48" s="36"/>
      <c r="H48" s="36">
        <f>200-200</f>
        <v>0</v>
      </c>
      <c r="I48" s="36"/>
      <c r="J48" s="36"/>
    </row>
    <row r="49" spans="1:10" ht="10.5" customHeight="1">
      <c r="A49" s="32">
        <v>42</v>
      </c>
      <c r="B49" s="35" t="s">
        <v>93</v>
      </c>
      <c r="C49" s="36">
        <v>200</v>
      </c>
      <c r="D49" s="36"/>
      <c r="E49" s="36">
        <f t="shared" si="0"/>
        <v>1222</v>
      </c>
      <c r="F49" s="36"/>
      <c r="G49" s="36"/>
      <c r="H49" s="36">
        <v>1222</v>
      </c>
      <c r="I49" s="36"/>
      <c r="J49" s="36"/>
    </row>
    <row r="50" spans="1:10" ht="10.5" customHeight="1">
      <c r="A50" s="32">
        <v>43</v>
      </c>
      <c r="B50" s="35" t="s">
        <v>278</v>
      </c>
      <c r="C50" s="36"/>
      <c r="D50" s="36"/>
      <c r="E50" s="36">
        <f t="shared" si="0"/>
        <v>1050</v>
      </c>
      <c r="F50" s="36"/>
      <c r="G50" s="36"/>
      <c r="H50" s="36">
        <v>1050</v>
      </c>
      <c r="I50" s="36"/>
      <c r="J50" s="36"/>
    </row>
    <row r="51" spans="1:10" ht="10.5" customHeight="1">
      <c r="A51" s="32">
        <v>44</v>
      </c>
      <c r="B51" s="35" t="s">
        <v>94</v>
      </c>
      <c r="C51" s="36"/>
      <c r="D51" s="36"/>
      <c r="E51" s="36">
        <f t="shared" si="0"/>
        <v>1222</v>
      </c>
      <c r="F51" s="36"/>
      <c r="G51" s="36"/>
      <c r="H51" s="36">
        <v>1222</v>
      </c>
      <c r="I51" s="36"/>
      <c r="J51" s="36"/>
    </row>
    <row r="52" spans="1:10" ht="10.5" customHeight="1">
      <c r="A52" s="32">
        <v>45</v>
      </c>
      <c r="B52" s="35" t="s">
        <v>8</v>
      </c>
      <c r="C52" s="36">
        <v>16319</v>
      </c>
      <c r="D52" s="36"/>
      <c r="E52" s="36">
        <f t="shared" si="0"/>
        <v>59174</v>
      </c>
      <c r="F52" s="36">
        <v>11095</v>
      </c>
      <c r="G52" s="36">
        <v>45350</v>
      </c>
      <c r="H52" s="36"/>
      <c r="I52" s="36">
        <v>2729</v>
      </c>
      <c r="J52" s="36"/>
    </row>
    <row r="53" spans="1:10" ht="10.5" customHeight="1">
      <c r="A53" s="32">
        <v>46</v>
      </c>
      <c r="B53" s="35" t="s">
        <v>95</v>
      </c>
      <c r="C53" s="36">
        <v>10804</v>
      </c>
      <c r="D53" s="36"/>
      <c r="E53" s="36">
        <f t="shared" si="0"/>
        <v>37365</v>
      </c>
      <c r="F53" s="36">
        <v>9032</v>
      </c>
      <c r="G53" s="36">
        <v>28333</v>
      </c>
      <c r="H53" s="36"/>
      <c r="I53" s="36"/>
      <c r="J53" s="36"/>
    </row>
    <row r="54" spans="1:10" ht="10.5" customHeight="1">
      <c r="A54" s="32">
        <v>47</v>
      </c>
      <c r="B54" s="35" t="s">
        <v>96</v>
      </c>
      <c r="C54" s="36">
        <v>12955</v>
      </c>
      <c r="D54" s="36"/>
      <c r="E54" s="36">
        <f t="shared" si="0"/>
        <v>44800</v>
      </c>
      <c r="F54" s="36">
        <v>10621</v>
      </c>
      <c r="G54" s="36">
        <v>34179</v>
      </c>
      <c r="H54" s="36"/>
      <c r="I54" s="36"/>
      <c r="J54" s="36"/>
    </row>
    <row r="55" spans="1:10" ht="10.5" customHeight="1">
      <c r="A55" s="32">
        <v>48</v>
      </c>
      <c r="B55" s="35" t="s">
        <v>97</v>
      </c>
      <c r="C55" s="36">
        <v>10177</v>
      </c>
      <c r="D55" s="36"/>
      <c r="E55" s="36">
        <f t="shared" si="0"/>
        <v>34999</v>
      </c>
      <c r="F55" s="36">
        <v>9400</v>
      </c>
      <c r="G55" s="36">
        <v>25599</v>
      </c>
      <c r="H55" s="36"/>
      <c r="I55" s="36"/>
      <c r="J55" s="36"/>
    </row>
    <row r="56" spans="1:10" ht="10.5" customHeight="1">
      <c r="A56" s="32">
        <v>49</v>
      </c>
      <c r="B56" s="35" t="s">
        <v>98</v>
      </c>
      <c r="C56" s="36">
        <v>15035</v>
      </c>
      <c r="D56" s="36"/>
      <c r="E56" s="36">
        <f t="shared" si="0"/>
        <v>51999</v>
      </c>
      <c r="F56" s="36">
        <v>14777</v>
      </c>
      <c r="G56" s="36">
        <v>37222</v>
      </c>
      <c r="H56" s="36"/>
      <c r="I56" s="36"/>
      <c r="J56" s="36"/>
    </row>
    <row r="57" spans="1:10" ht="24" customHeight="1">
      <c r="A57" s="32">
        <v>50</v>
      </c>
      <c r="B57" s="37" t="s">
        <v>99</v>
      </c>
      <c r="C57" s="36"/>
      <c r="D57" s="36"/>
      <c r="E57" s="36">
        <f t="shared" si="0"/>
        <v>200</v>
      </c>
      <c r="F57" s="36"/>
      <c r="G57" s="36"/>
      <c r="H57" s="36">
        <v>200</v>
      </c>
      <c r="I57" s="36"/>
      <c r="J57" s="36"/>
    </row>
    <row r="58" spans="1:10" ht="10.5" customHeight="1">
      <c r="A58" s="32">
        <v>51</v>
      </c>
      <c r="B58" s="35" t="s">
        <v>100</v>
      </c>
      <c r="C58" s="36">
        <v>31448</v>
      </c>
      <c r="D58" s="36"/>
      <c r="E58" s="36">
        <f t="shared" si="0"/>
        <v>99824</v>
      </c>
      <c r="F58" s="36">
        <v>21301</v>
      </c>
      <c r="G58" s="36">
        <v>74690</v>
      </c>
      <c r="H58" s="36"/>
      <c r="I58" s="36">
        <v>3833</v>
      </c>
      <c r="J58" s="36"/>
    </row>
    <row r="59" spans="1:10" ht="27" customHeight="1">
      <c r="A59" s="32">
        <v>52</v>
      </c>
      <c r="B59" s="37" t="s">
        <v>101</v>
      </c>
      <c r="C59" s="36">
        <v>1800</v>
      </c>
      <c r="D59" s="36"/>
      <c r="E59" s="36">
        <f t="shared" si="0"/>
        <v>19000</v>
      </c>
      <c r="F59" s="36">
        <v>0</v>
      </c>
      <c r="G59" s="36">
        <v>0</v>
      </c>
      <c r="H59" s="36">
        <v>19000</v>
      </c>
      <c r="I59" s="36"/>
      <c r="J59" s="36"/>
    </row>
    <row r="60" spans="1:10" ht="10.5" customHeight="1">
      <c r="A60" s="32">
        <v>53</v>
      </c>
      <c r="B60" s="35" t="s">
        <v>102</v>
      </c>
      <c r="C60" s="36">
        <v>33203</v>
      </c>
      <c r="D60" s="36"/>
      <c r="E60" s="36">
        <f t="shared" si="0"/>
        <v>109382</v>
      </c>
      <c r="F60" s="36">
        <v>23049</v>
      </c>
      <c r="G60" s="36">
        <v>86333</v>
      </c>
      <c r="H60" s="36"/>
      <c r="I60" s="36"/>
      <c r="J60" s="36"/>
    </row>
    <row r="61" spans="1:10" ht="10.5" customHeight="1">
      <c r="A61" s="32">
        <v>54</v>
      </c>
      <c r="B61" s="35" t="s">
        <v>103</v>
      </c>
      <c r="C61" s="36">
        <v>17881</v>
      </c>
      <c r="D61" s="36"/>
      <c r="E61" s="36">
        <f t="shared" si="0"/>
        <v>61860</v>
      </c>
      <c r="F61" s="36">
        <v>12175</v>
      </c>
      <c r="G61" s="36">
        <v>49685</v>
      </c>
      <c r="H61" s="36"/>
      <c r="I61" s="36"/>
      <c r="J61" s="36"/>
    </row>
    <row r="62" spans="1:10" ht="10.5" customHeight="1">
      <c r="A62" s="32">
        <v>55</v>
      </c>
      <c r="B62" s="35" t="s">
        <v>104</v>
      </c>
      <c r="C62" s="36">
        <v>8775</v>
      </c>
      <c r="D62" s="36"/>
      <c r="E62" s="36">
        <f t="shared" si="0"/>
        <v>30343</v>
      </c>
      <c r="F62" s="36">
        <v>5542</v>
      </c>
      <c r="G62" s="36">
        <v>24801</v>
      </c>
      <c r="H62" s="36"/>
      <c r="I62" s="36"/>
      <c r="J62" s="36"/>
    </row>
    <row r="63" spans="1:10" ht="10.5" customHeight="1">
      <c r="A63" s="32">
        <v>56</v>
      </c>
      <c r="B63" s="35" t="s">
        <v>105</v>
      </c>
      <c r="C63" s="36"/>
      <c r="D63" s="36"/>
      <c r="E63" s="36">
        <f t="shared" si="0"/>
        <v>1500</v>
      </c>
      <c r="F63" s="36"/>
      <c r="G63" s="36">
        <v>0</v>
      </c>
      <c r="H63" s="36">
        <v>1500</v>
      </c>
      <c r="I63" s="36"/>
      <c r="J63" s="36"/>
    </row>
    <row r="64" spans="1:10" ht="10.5" customHeight="1">
      <c r="A64" s="32">
        <v>57</v>
      </c>
      <c r="B64" s="35" t="s">
        <v>106</v>
      </c>
      <c r="C64" s="36"/>
      <c r="D64" s="36"/>
      <c r="E64" s="36">
        <f t="shared" si="0"/>
        <v>4000</v>
      </c>
      <c r="F64" s="36"/>
      <c r="G64" s="36"/>
      <c r="H64" s="36">
        <v>4000</v>
      </c>
      <c r="I64" s="36"/>
      <c r="J64" s="36"/>
    </row>
    <row r="65" spans="1:10" ht="10.5" customHeight="1">
      <c r="A65" s="32">
        <v>58</v>
      </c>
      <c r="B65" s="35" t="s">
        <v>107</v>
      </c>
      <c r="C65" s="36">
        <v>31822</v>
      </c>
      <c r="D65" s="36">
        <v>6308</v>
      </c>
      <c r="E65" s="36">
        <f t="shared" si="0"/>
        <v>89114</v>
      </c>
      <c r="F65" s="36">
        <v>14225</v>
      </c>
      <c r="G65" s="36">
        <v>64696</v>
      </c>
      <c r="H65" s="36"/>
      <c r="I65" s="36">
        <v>10193</v>
      </c>
      <c r="J65" s="36"/>
    </row>
    <row r="66" spans="1:10" ht="22.5" customHeight="1">
      <c r="A66" s="32">
        <v>59</v>
      </c>
      <c r="B66" s="37" t="s">
        <v>279</v>
      </c>
      <c r="C66" s="36">
        <v>28451</v>
      </c>
      <c r="D66" s="36"/>
      <c r="E66" s="36">
        <f t="shared" si="0"/>
        <v>88617</v>
      </c>
      <c r="F66" s="36">
        <v>29685</v>
      </c>
      <c r="G66" s="36">
        <v>58932</v>
      </c>
      <c r="H66" s="36"/>
      <c r="I66" s="36"/>
      <c r="J66" s="36"/>
    </row>
    <row r="67" spans="1:10" ht="10.5" customHeight="1">
      <c r="A67" s="32">
        <v>60</v>
      </c>
      <c r="B67" s="37" t="s">
        <v>109</v>
      </c>
      <c r="C67" s="36">
        <v>33231</v>
      </c>
      <c r="D67" s="36"/>
      <c r="E67" s="36">
        <f t="shared" si="0"/>
        <v>94670</v>
      </c>
      <c r="F67" s="36">
        <v>31745</v>
      </c>
      <c r="G67" s="36">
        <v>62925</v>
      </c>
      <c r="H67" s="36"/>
      <c r="I67" s="36"/>
      <c r="J67" s="36"/>
    </row>
    <row r="68" spans="1:10" ht="22.5" customHeight="1">
      <c r="A68" s="32">
        <v>61</v>
      </c>
      <c r="B68" s="37" t="s">
        <v>280</v>
      </c>
      <c r="C68" s="36">
        <v>15178</v>
      </c>
      <c r="D68" s="36"/>
      <c r="E68" s="36">
        <f t="shared" si="0"/>
        <v>52956</v>
      </c>
      <c r="F68" s="36">
        <v>9650</v>
      </c>
      <c r="G68" s="36">
        <v>43306</v>
      </c>
      <c r="H68" s="36"/>
      <c r="I68" s="36"/>
      <c r="J68" s="36"/>
    </row>
    <row r="69" spans="1:10" s="39" customFormat="1" ht="48.75" customHeight="1">
      <c r="A69" s="32">
        <v>62</v>
      </c>
      <c r="B69" s="40" t="s">
        <v>281</v>
      </c>
      <c r="C69" s="38">
        <v>21536</v>
      </c>
      <c r="D69" s="38"/>
      <c r="E69" s="118">
        <f t="shared" si="0"/>
        <v>77854</v>
      </c>
      <c r="F69" s="38">
        <f>16435-64</f>
        <v>16371</v>
      </c>
      <c r="G69" s="38">
        <v>61483</v>
      </c>
      <c r="H69" s="38"/>
      <c r="I69" s="38"/>
      <c r="J69" s="38"/>
    </row>
    <row r="70" spans="1:10" ht="10.5" customHeight="1">
      <c r="A70" s="32">
        <v>63</v>
      </c>
      <c r="B70" s="35" t="s">
        <v>113</v>
      </c>
      <c r="C70" s="36">
        <v>22086</v>
      </c>
      <c r="D70" s="36"/>
      <c r="E70" s="36">
        <f t="shared" si="0"/>
        <v>87444</v>
      </c>
      <c r="F70" s="36">
        <v>16400</v>
      </c>
      <c r="G70" s="36">
        <v>71044</v>
      </c>
      <c r="H70" s="36"/>
      <c r="I70" s="36"/>
      <c r="J70" s="36"/>
    </row>
    <row r="71" spans="1:10" ht="10.5" customHeight="1">
      <c r="A71" s="32">
        <v>64</v>
      </c>
      <c r="B71" s="35" t="s">
        <v>114</v>
      </c>
      <c r="C71" s="36"/>
      <c r="D71" s="36"/>
      <c r="E71" s="36">
        <f t="shared" si="0"/>
        <v>11810</v>
      </c>
      <c r="F71" s="36"/>
      <c r="G71" s="36"/>
      <c r="H71" s="36">
        <v>11810</v>
      </c>
      <c r="I71" s="36"/>
      <c r="J71" s="36"/>
    </row>
    <row r="72" spans="1:10" ht="10.5" customHeight="1">
      <c r="A72" s="32">
        <v>65</v>
      </c>
      <c r="B72" s="35" t="s">
        <v>115</v>
      </c>
      <c r="C72" s="36">
        <v>11000</v>
      </c>
      <c r="D72" s="36"/>
      <c r="E72" s="36">
        <f t="shared" si="0"/>
        <v>71000</v>
      </c>
      <c r="F72" s="36"/>
      <c r="G72" s="36"/>
      <c r="H72" s="36">
        <v>71000</v>
      </c>
      <c r="I72" s="36"/>
      <c r="J72" s="36"/>
    </row>
    <row r="73" spans="1:10" ht="23.25" customHeight="1">
      <c r="A73" s="32">
        <v>66</v>
      </c>
      <c r="B73" s="37" t="s">
        <v>116</v>
      </c>
      <c r="C73" s="36">
        <v>3339</v>
      </c>
      <c r="D73" s="36"/>
      <c r="E73" s="36">
        <f t="shared" si="0"/>
        <v>10316</v>
      </c>
      <c r="F73" s="36">
        <v>4846</v>
      </c>
      <c r="G73" s="36">
        <v>5470</v>
      </c>
      <c r="H73" s="36"/>
      <c r="I73" s="36"/>
      <c r="J73" s="36"/>
    </row>
    <row r="74" spans="1:10" ht="10.5" customHeight="1">
      <c r="A74" s="32">
        <v>67</v>
      </c>
      <c r="B74" s="35" t="s">
        <v>117</v>
      </c>
      <c r="C74" s="36">
        <v>49115</v>
      </c>
      <c r="D74" s="36"/>
      <c r="E74" s="36">
        <f t="shared" si="0"/>
        <v>169788</v>
      </c>
      <c r="F74" s="36">
        <v>40920</v>
      </c>
      <c r="G74" s="36">
        <v>128868</v>
      </c>
      <c r="H74" s="36"/>
      <c r="I74" s="36"/>
      <c r="J74" s="36"/>
    </row>
    <row r="75" spans="1:10" ht="10.5" customHeight="1">
      <c r="A75" s="32">
        <v>68</v>
      </c>
      <c r="B75" s="35" t="s">
        <v>118</v>
      </c>
      <c r="C75" s="36">
        <v>36220</v>
      </c>
      <c r="D75" s="36"/>
      <c r="E75" s="36">
        <f t="shared" si="0"/>
        <v>131223</v>
      </c>
      <c r="F75" s="36">
        <v>41227</v>
      </c>
      <c r="G75" s="36">
        <v>83950</v>
      </c>
      <c r="H75" s="36"/>
      <c r="I75" s="36">
        <v>6046</v>
      </c>
      <c r="J75" s="36"/>
    </row>
    <row r="76" spans="1:10" s="39" customFormat="1" ht="48" customHeight="1">
      <c r="A76" s="32">
        <v>69</v>
      </c>
      <c r="B76" s="40" t="s">
        <v>221</v>
      </c>
      <c r="C76" s="38">
        <v>13317</v>
      </c>
      <c r="D76" s="38"/>
      <c r="E76" s="38">
        <f t="shared" si="0"/>
        <v>46042</v>
      </c>
      <c r="F76" s="38">
        <v>15237</v>
      </c>
      <c r="G76" s="38">
        <v>30805</v>
      </c>
      <c r="H76" s="38"/>
      <c r="I76" s="38"/>
      <c r="J76" s="38"/>
    </row>
    <row r="77" spans="1:10" ht="10.5" customHeight="1">
      <c r="A77" s="32">
        <v>70</v>
      </c>
      <c r="B77" s="35" t="s">
        <v>120</v>
      </c>
      <c r="C77" s="36">
        <v>46855</v>
      </c>
      <c r="D77" s="36"/>
      <c r="E77" s="36">
        <f t="shared" si="0"/>
        <v>161988</v>
      </c>
      <c r="F77" s="36">
        <v>33897</v>
      </c>
      <c r="G77" s="36">
        <v>128091</v>
      </c>
      <c r="H77" s="36"/>
      <c r="I77" s="36"/>
      <c r="J77" s="36"/>
    </row>
    <row r="78" spans="1:10" ht="10.5" customHeight="1">
      <c r="A78" s="32">
        <v>71</v>
      </c>
      <c r="B78" s="35" t="s">
        <v>121</v>
      </c>
      <c r="C78" s="36">
        <f>48621-878</f>
        <v>47743</v>
      </c>
      <c r="D78" s="36"/>
      <c r="E78" s="36">
        <f t="shared" si="0"/>
        <v>142677</v>
      </c>
      <c r="F78" s="36">
        <f>32478-14250</f>
        <v>18228</v>
      </c>
      <c r="G78" s="36">
        <v>120989</v>
      </c>
      <c r="H78" s="36">
        <v>0</v>
      </c>
      <c r="I78" s="36">
        <v>3460</v>
      </c>
      <c r="J78" s="36"/>
    </row>
    <row r="79" spans="1:10" s="41" customFormat="1" ht="45.75" customHeight="1">
      <c r="A79" s="32">
        <v>72</v>
      </c>
      <c r="B79" s="40" t="s">
        <v>122</v>
      </c>
      <c r="C79" s="38">
        <v>15702</v>
      </c>
      <c r="D79" s="38"/>
      <c r="E79" s="38">
        <f t="shared" si="0"/>
        <v>51182</v>
      </c>
      <c r="F79" s="38">
        <v>4938</v>
      </c>
      <c r="G79" s="38">
        <v>46244</v>
      </c>
      <c r="H79" s="38"/>
      <c r="I79" s="38"/>
      <c r="J79" s="38"/>
    </row>
    <row r="80" spans="1:10" s="41" customFormat="1" ht="24" customHeight="1">
      <c r="A80" s="32"/>
      <c r="B80" s="35" t="s">
        <v>282</v>
      </c>
      <c r="C80" s="38">
        <v>878</v>
      </c>
      <c r="D80" s="38"/>
      <c r="E80" s="38">
        <f t="shared" si="0"/>
        <v>14250</v>
      </c>
      <c r="F80" s="38">
        <v>14250</v>
      </c>
      <c r="G80" s="38"/>
      <c r="H80" s="38"/>
      <c r="I80" s="38"/>
      <c r="J80" s="38"/>
    </row>
    <row r="81" spans="1:10" ht="22.5" customHeight="1">
      <c r="A81" s="32">
        <v>73</v>
      </c>
      <c r="B81" s="37" t="s">
        <v>123</v>
      </c>
      <c r="C81" s="36">
        <v>5710</v>
      </c>
      <c r="D81" s="36"/>
      <c r="E81" s="38">
        <f t="shared" si="0"/>
        <v>30000</v>
      </c>
      <c r="F81" s="36"/>
      <c r="G81" s="36"/>
      <c r="H81" s="36">
        <v>30000</v>
      </c>
      <c r="I81" s="36"/>
      <c r="J81" s="36"/>
    </row>
    <row r="82" spans="1:10" ht="10.5" customHeight="1">
      <c r="A82" s="32">
        <v>74</v>
      </c>
      <c r="B82" s="35" t="s">
        <v>124</v>
      </c>
      <c r="C82" s="36"/>
      <c r="D82" s="36"/>
      <c r="E82" s="36">
        <f t="shared" ref="E82:E149" si="1">F82+G82+H82+I82+J82</f>
        <v>9500</v>
      </c>
      <c r="F82" s="36"/>
      <c r="G82" s="36"/>
      <c r="H82" s="36">
        <v>9500</v>
      </c>
      <c r="I82" s="36"/>
      <c r="J82" s="36"/>
    </row>
    <row r="83" spans="1:10" ht="10.5" customHeight="1">
      <c r="A83" s="32">
        <v>75</v>
      </c>
      <c r="B83" s="35" t="s">
        <v>125</v>
      </c>
      <c r="C83" s="36">
        <v>16040</v>
      </c>
      <c r="D83" s="36"/>
      <c r="E83" s="36">
        <f t="shared" si="1"/>
        <v>55479</v>
      </c>
      <c r="F83" s="36">
        <v>13753</v>
      </c>
      <c r="G83" s="36">
        <v>41726</v>
      </c>
      <c r="H83" s="36"/>
      <c r="I83" s="36"/>
      <c r="J83" s="36"/>
    </row>
    <row r="84" spans="1:10" ht="10.5" customHeight="1">
      <c r="A84" s="32">
        <v>76</v>
      </c>
      <c r="B84" s="35" t="s">
        <v>126</v>
      </c>
      <c r="C84" s="36">
        <v>19608</v>
      </c>
      <c r="D84" s="36"/>
      <c r="E84" s="36">
        <f t="shared" si="1"/>
        <v>67815</v>
      </c>
      <c r="F84" s="36">
        <v>24503</v>
      </c>
      <c r="G84" s="36">
        <v>43312</v>
      </c>
      <c r="H84" s="36"/>
      <c r="I84" s="36"/>
      <c r="J84" s="36"/>
    </row>
    <row r="85" spans="1:10" ht="10.5" customHeight="1">
      <c r="A85" s="32">
        <v>77</v>
      </c>
      <c r="B85" s="35" t="s">
        <v>127</v>
      </c>
      <c r="C85" s="36">
        <v>17907</v>
      </c>
      <c r="D85" s="36"/>
      <c r="E85" s="36">
        <f t="shared" si="1"/>
        <v>61928</v>
      </c>
      <c r="F85" s="36">
        <v>14375</v>
      </c>
      <c r="G85" s="36">
        <v>47553</v>
      </c>
      <c r="H85" s="36"/>
      <c r="I85" s="36"/>
      <c r="J85" s="36"/>
    </row>
    <row r="86" spans="1:10" ht="10.5" customHeight="1">
      <c r="A86" s="32">
        <v>78</v>
      </c>
      <c r="B86" s="35" t="s">
        <v>128</v>
      </c>
      <c r="C86" s="36">
        <v>11485</v>
      </c>
      <c r="D86" s="36"/>
      <c r="E86" s="36">
        <f t="shared" si="1"/>
        <v>39610</v>
      </c>
      <c r="F86" s="36">
        <f>9017-87</f>
        <v>8930</v>
      </c>
      <c r="G86" s="36">
        <v>30680</v>
      </c>
      <c r="H86" s="36"/>
      <c r="I86" s="36"/>
      <c r="J86" s="36"/>
    </row>
    <row r="87" spans="1:10" ht="10.5" customHeight="1">
      <c r="A87" s="32">
        <v>79</v>
      </c>
      <c r="B87" s="35" t="s">
        <v>129</v>
      </c>
      <c r="C87" s="36">
        <v>19941</v>
      </c>
      <c r="D87" s="36"/>
      <c r="E87" s="36">
        <f t="shared" si="1"/>
        <v>68926</v>
      </c>
      <c r="F87" s="36">
        <v>17880</v>
      </c>
      <c r="G87" s="36">
        <v>51046</v>
      </c>
      <c r="H87" s="36"/>
      <c r="I87" s="36"/>
      <c r="J87" s="36"/>
    </row>
    <row r="88" spans="1:10" ht="10.5" customHeight="1">
      <c r="A88" s="32">
        <v>80</v>
      </c>
      <c r="B88" s="35" t="s">
        <v>130</v>
      </c>
      <c r="C88" s="36">
        <v>9540</v>
      </c>
      <c r="D88" s="36"/>
      <c r="E88" s="36">
        <f t="shared" si="1"/>
        <v>32969</v>
      </c>
      <c r="F88" s="36">
        <v>7154</v>
      </c>
      <c r="G88" s="36">
        <v>25815</v>
      </c>
      <c r="H88" s="36"/>
      <c r="I88" s="36"/>
      <c r="J88" s="36"/>
    </row>
    <row r="89" spans="1:10" ht="10.5" customHeight="1">
      <c r="A89" s="32">
        <v>81</v>
      </c>
      <c r="B89" s="35" t="s">
        <v>283</v>
      </c>
      <c r="C89" s="36"/>
      <c r="D89" s="36"/>
      <c r="E89" s="36">
        <f t="shared" si="1"/>
        <v>2500</v>
      </c>
      <c r="F89" s="36"/>
      <c r="G89" s="36"/>
      <c r="H89" s="36">
        <v>2500</v>
      </c>
      <c r="I89" s="36"/>
      <c r="J89" s="36"/>
    </row>
    <row r="90" spans="1:10" ht="10.5" customHeight="1">
      <c r="A90" s="32">
        <v>82</v>
      </c>
      <c r="B90" s="35" t="s">
        <v>131</v>
      </c>
      <c r="C90" s="36">
        <v>7900</v>
      </c>
      <c r="D90" s="36"/>
      <c r="E90" s="36">
        <f t="shared" si="1"/>
        <v>25182</v>
      </c>
      <c r="F90" s="36">
        <v>9127</v>
      </c>
      <c r="G90" s="36">
        <v>16055</v>
      </c>
      <c r="H90" s="36"/>
      <c r="I90" s="36"/>
      <c r="J90" s="36"/>
    </row>
    <row r="91" spans="1:10" ht="10.5" customHeight="1">
      <c r="A91" s="32">
        <v>83</v>
      </c>
      <c r="B91" s="35" t="s">
        <v>284</v>
      </c>
      <c r="C91" s="36"/>
      <c r="D91" s="36"/>
      <c r="E91" s="36">
        <f t="shared" si="1"/>
        <v>2000</v>
      </c>
      <c r="F91" s="36"/>
      <c r="G91" s="36"/>
      <c r="H91" s="36"/>
      <c r="I91" s="36">
        <v>2000</v>
      </c>
      <c r="J91" s="36"/>
    </row>
    <row r="92" spans="1:10" ht="10.5" customHeight="1">
      <c r="A92" s="32">
        <v>84</v>
      </c>
      <c r="B92" s="35" t="s">
        <v>132</v>
      </c>
      <c r="C92" s="36">
        <v>71184</v>
      </c>
      <c r="D92" s="36"/>
      <c r="E92" s="36">
        <f t="shared" si="1"/>
        <v>246126</v>
      </c>
      <c r="F92" s="36">
        <v>52711</v>
      </c>
      <c r="G92" s="36">
        <v>193415</v>
      </c>
      <c r="H92" s="36"/>
      <c r="I92" s="36"/>
      <c r="J92" s="36"/>
    </row>
    <row r="93" spans="1:10" ht="10.5" customHeight="1">
      <c r="A93" s="32">
        <v>85</v>
      </c>
      <c r="B93" s="35" t="s">
        <v>133</v>
      </c>
      <c r="C93" s="36">
        <v>55741</v>
      </c>
      <c r="D93" s="36"/>
      <c r="E93" s="36">
        <f t="shared" si="1"/>
        <v>183220</v>
      </c>
      <c r="F93" s="36">
        <v>22997</v>
      </c>
      <c r="G93" s="36">
        <v>152384</v>
      </c>
      <c r="H93" s="36"/>
      <c r="I93" s="36">
        <v>7839</v>
      </c>
      <c r="J93" s="36"/>
    </row>
    <row r="94" spans="1:10" ht="24.75" customHeight="1">
      <c r="A94" s="32">
        <v>86</v>
      </c>
      <c r="B94" s="37" t="s">
        <v>134</v>
      </c>
      <c r="C94" s="36">
        <v>3000</v>
      </c>
      <c r="D94" s="36"/>
      <c r="E94" s="36">
        <f t="shared" si="1"/>
        <v>27693</v>
      </c>
      <c r="F94" s="36">
        <v>0</v>
      </c>
      <c r="G94" s="36">
        <v>0</v>
      </c>
      <c r="H94" s="36">
        <v>27693</v>
      </c>
      <c r="I94" s="36"/>
      <c r="J94" s="36"/>
    </row>
    <row r="95" spans="1:10" ht="10.5" customHeight="1">
      <c r="A95" s="32">
        <v>87</v>
      </c>
      <c r="B95" s="35" t="s">
        <v>135</v>
      </c>
      <c r="C95" s="36">
        <v>16256</v>
      </c>
      <c r="D95" s="36"/>
      <c r="E95" s="36">
        <f t="shared" si="1"/>
        <v>56186</v>
      </c>
      <c r="F95" s="36">
        <v>11651</v>
      </c>
      <c r="G95" s="36">
        <v>44535</v>
      </c>
      <c r="H95" s="36"/>
      <c r="I95" s="36"/>
      <c r="J95" s="36"/>
    </row>
    <row r="96" spans="1:10" ht="10.5" customHeight="1">
      <c r="A96" s="32">
        <v>88</v>
      </c>
      <c r="B96" s="35" t="s">
        <v>136</v>
      </c>
      <c r="C96" s="36">
        <v>18728</v>
      </c>
      <c r="D96" s="36"/>
      <c r="E96" s="36">
        <f t="shared" si="1"/>
        <v>64541</v>
      </c>
      <c r="F96" s="36">
        <v>13726</v>
      </c>
      <c r="G96" s="36">
        <v>50815</v>
      </c>
      <c r="H96" s="36"/>
      <c r="I96" s="36"/>
      <c r="J96" s="36"/>
    </row>
    <row r="97" spans="1:10" ht="10.5" customHeight="1">
      <c r="A97" s="32">
        <v>89</v>
      </c>
      <c r="B97" s="35" t="s">
        <v>137</v>
      </c>
      <c r="C97" s="36">
        <v>12715</v>
      </c>
      <c r="D97" s="36"/>
      <c r="E97" s="36">
        <f t="shared" si="1"/>
        <v>43959</v>
      </c>
      <c r="F97" s="36">
        <v>8544</v>
      </c>
      <c r="G97" s="36">
        <v>35415</v>
      </c>
      <c r="H97" s="36"/>
      <c r="I97" s="36"/>
      <c r="J97" s="36"/>
    </row>
    <row r="98" spans="1:10" ht="10.5" customHeight="1">
      <c r="A98" s="32">
        <v>90</v>
      </c>
      <c r="B98" s="35" t="s">
        <v>285</v>
      </c>
      <c r="C98" s="36"/>
      <c r="D98" s="36"/>
      <c r="E98" s="36">
        <f t="shared" si="1"/>
        <v>200</v>
      </c>
      <c r="F98" s="36"/>
      <c r="G98" s="36"/>
      <c r="H98" s="36">
        <v>200</v>
      </c>
      <c r="I98" s="36"/>
      <c r="J98" s="36"/>
    </row>
    <row r="99" spans="1:10" ht="10.5" customHeight="1">
      <c r="A99" s="32">
        <v>91</v>
      </c>
      <c r="B99" s="35" t="s">
        <v>138</v>
      </c>
      <c r="C99" s="36">
        <v>13244</v>
      </c>
      <c r="D99" s="36"/>
      <c r="E99" s="36">
        <f t="shared" si="1"/>
        <v>68484</v>
      </c>
      <c r="F99" s="36">
        <v>14396</v>
      </c>
      <c r="G99" s="36">
        <v>54088</v>
      </c>
      <c r="H99" s="36"/>
      <c r="I99" s="36"/>
      <c r="J99" s="36"/>
    </row>
    <row r="100" spans="1:10" ht="10.5" customHeight="1">
      <c r="A100" s="32">
        <v>92</v>
      </c>
      <c r="B100" s="35" t="s">
        <v>139</v>
      </c>
      <c r="C100" s="36">
        <v>11229</v>
      </c>
      <c r="D100" s="36"/>
      <c r="E100" s="36">
        <f t="shared" si="1"/>
        <v>58057</v>
      </c>
      <c r="F100" s="36">
        <v>11307</v>
      </c>
      <c r="G100" s="36">
        <v>46750</v>
      </c>
      <c r="H100" s="36"/>
      <c r="I100" s="36"/>
      <c r="J100" s="36"/>
    </row>
    <row r="101" spans="1:10" ht="10.5" customHeight="1">
      <c r="A101" s="32">
        <v>93</v>
      </c>
      <c r="B101" s="35" t="s">
        <v>140</v>
      </c>
      <c r="C101" s="36">
        <v>22324</v>
      </c>
      <c r="D101" s="36">
        <v>7164</v>
      </c>
      <c r="E101" s="36">
        <f t="shared" si="1"/>
        <v>78393</v>
      </c>
      <c r="F101" s="36">
        <v>17930</v>
      </c>
      <c r="G101" s="36">
        <v>60463</v>
      </c>
      <c r="H101" s="36"/>
      <c r="I101" s="36"/>
      <c r="J101" s="36"/>
    </row>
    <row r="102" spans="1:10" ht="10.5" customHeight="1">
      <c r="A102" s="32">
        <v>94</v>
      </c>
      <c r="B102" s="35" t="s">
        <v>141</v>
      </c>
      <c r="C102" s="36">
        <v>25750</v>
      </c>
      <c r="D102" s="36">
        <v>6921</v>
      </c>
      <c r="E102" s="36">
        <f t="shared" si="1"/>
        <v>97365</v>
      </c>
      <c r="F102" s="36">
        <v>24565</v>
      </c>
      <c r="G102" s="36">
        <v>72800</v>
      </c>
      <c r="H102" s="36"/>
      <c r="I102" s="36"/>
      <c r="J102" s="36"/>
    </row>
    <row r="103" spans="1:10" ht="10.5" customHeight="1">
      <c r="A103" s="32">
        <v>95</v>
      </c>
      <c r="B103" s="35" t="s">
        <v>142</v>
      </c>
      <c r="C103" s="36">
        <v>7236</v>
      </c>
      <c r="D103" s="36"/>
      <c r="E103" s="36">
        <f t="shared" si="1"/>
        <v>35497</v>
      </c>
      <c r="F103" s="36">
        <v>7288</v>
      </c>
      <c r="G103" s="36">
        <v>28209</v>
      </c>
      <c r="H103" s="36"/>
      <c r="I103" s="36"/>
      <c r="J103" s="36"/>
    </row>
    <row r="104" spans="1:10" ht="10.5" customHeight="1">
      <c r="A104" s="32">
        <v>96</v>
      </c>
      <c r="B104" s="35" t="s">
        <v>143</v>
      </c>
      <c r="C104" s="36">
        <v>0</v>
      </c>
      <c r="D104" s="36"/>
      <c r="E104" s="36">
        <f t="shared" si="1"/>
        <v>23000</v>
      </c>
      <c r="F104" s="36">
        <v>0</v>
      </c>
      <c r="G104" s="36">
        <v>0</v>
      </c>
      <c r="H104" s="36">
        <v>23000</v>
      </c>
      <c r="I104" s="36"/>
      <c r="J104" s="36"/>
    </row>
    <row r="105" spans="1:10" ht="10.5" customHeight="1">
      <c r="A105" s="32">
        <v>97</v>
      </c>
      <c r="B105" s="35" t="s">
        <v>144</v>
      </c>
      <c r="C105" s="36">
        <v>9223</v>
      </c>
      <c r="D105" s="36"/>
      <c r="E105" s="36">
        <f t="shared" si="1"/>
        <v>33800</v>
      </c>
      <c r="F105" s="36">
        <v>0</v>
      </c>
      <c r="G105" s="36">
        <v>0</v>
      </c>
      <c r="H105" s="36">
        <v>33800</v>
      </c>
      <c r="I105" s="36"/>
      <c r="J105" s="36"/>
    </row>
    <row r="106" spans="1:10" ht="10.5" customHeight="1">
      <c r="A106" s="32">
        <v>98</v>
      </c>
      <c r="B106" s="35" t="s">
        <v>145</v>
      </c>
      <c r="C106" s="36">
        <v>25633</v>
      </c>
      <c r="D106" s="36"/>
      <c r="E106" s="36">
        <f t="shared" si="1"/>
        <v>102076</v>
      </c>
      <c r="F106" s="36">
        <v>24934</v>
      </c>
      <c r="G106" s="36">
        <v>77142</v>
      </c>
      <c r="H106" s="36"/>
      <c r="I106" s="36"/>
      <c r="J106" s="36"/>
    </row>
    <row r="107" spans="1:10" ht="10.5" customHeight="1">
      <c r="A107" s="32">
        <v>99</v>
      </c>
      <c r="B107" s="35" t="s">
        <v>146</v>
      </c>
      <c r="C107" s="36">
        <v>14891</v>
      </c>
      <c r="D107" s="36"/>
      <c r="E107" s="36">
        <f t="shared" si="1"/>
        <v>58569</v>
      </c>
      <c r="F107" s="36">
        <v>15707</v>
      </c>
      <c r="G107" s="36">
        <v>42862</v>
      </c>
      <c r="H107" s="36"/>
      <c r="I107" s="36"/>
      <c r="J107" s="36"/>
    </row>
    <row r="108" spans="1:10" ht="10.5" customHeight="1">
      <c r="A108" s="32">
        <v>100</v>
      </c>
      <c r="B108" s="35" t="s">
        <v>147</v>
      </c>
      <c r="C108" s="36">
        <v>14205</v>
      </c>
      <c r="D108" s="36"/>
      <c r="E108" s="36">
        <f t="shared" si="1"/>
        <v>70047</v>
      </c>
      <c r="F108" s="36">
        <v>15391</v>
      </c>
      <c r="G108" s="36">
        <v>50067</v>
      </c>
      <c r="H108" s="36"/>
      <c r="I108" s="36">
        <v>4589</v>
      </c>
      <c r="J108" s="36"/>
    </row>
    <row r="109" spans="1:10" ht="10.5" customHeight="1">
      <c r="A109" s="32">
        <v>101</v>
      </c>
      <c r="B109" s="35" t="s">
        <v>148</v>
      </c>
      <c r="C109" s="36">
        <v>10652</v>
      </c>
      <c r="D109" s="36"/>
      <c r="E109" s="36">
        <f t="shared" si="1"/>
        <v>42181</v>
      </c>
      <c r="F109" s="36">
        <v>11145</v>
      </c>
      <c r="G109" s="36">
        <v>31036</v>
      </c>
      <c r="H109" s="36"/>
      <c r="I109" s="36"/>
      <c r="J109" s="36"/>
    </row>
    <row r="110" spans="1:10" ht="10.5" customHeight="1">
      <c r="A110" s="32">
        <v>102</v>
      </c>
      <c r="B110" s="35" t="s">
        <v>149</v>
      </c>
      <c r="C110" s="36">
        <v>28037</v>
      </c>
      <c r="D110" s="36"/>
      <c r="E110" s="36">
        <f t="shared" si="1"/>
        <v>132455</v>
      </c>
      <c r="F110" s="36">
        <v>32521</v>
      </c>
      <c r="G110" s="36">
        <v>95520</v>
      </c>
      <c r="H110" s="36"/>
      <c r="I110" s="36">
        <v>4414</v>
      </c>
      <c r="J110" s="36"/>
    </row>
    <row r="111" spans="1:10" ht="10.5" customHeight="1">
      <c r="A111" s="32">
        <v>103</v>
      </c>
      <c r="B111" s="35" t="s">
        <v>150</v>
      </c>
      <c r="C111" s="36">
        <v>14319</v>
      </c>
      <c r="D111" s="36"/>
      <c r="E111" s="36">
        <f t="shared" si="1"/>
        <v>65391</v>
      </c>
      <c r="F111" s="36">
        <v>22163</v>
      </c>
      <c r="G111" s="36">
        <v>43228</v>
      </c>
      <c r="H111" s="36"/>
      <c r="I111" s="36"/>
      <c r="J111" s="36"/>
    </row>
    <row r="112" spans="1:10" ht="10.5" customHeight="1">
      <c r="A112" s="32">
        <v>104</v>
      </c>
      <c r="B112" s="35" t="s">
        <v>151</v>
      </c>
      <c r="C112" s="36">
        <v>16099</v>
      </c>
      <c r="D112" s="36"/>
      <c r="E112" s="36">
        <f t="shared" si="1"/>
        <v>64618</v>
      </c>
      <c r="F112" s="36">
        <v>18613</v>
      </c>
      <c r="G112" s="36">
        <v>46005</v>
      </c>
      <c r="H112" s="36"/>
      <c r="I112" s="36"/>
      <c r="J112" s="36"/>
    </row>
    <row r="113" spans="1:10" ht="10.5" customHeight="1">
      <c r="A113" s="32">
        <v>105</v>
      </c>
      <c r="B113" s="35" t="s">
        <v>152</v>
      </c>
      <c r="C113" s="36">
        <v>9726</v>
      </c>
      <c r="D113" s="36"/>
      <c r="E113" s="36">
        <f t="shared" si="1"/>
        <v>45170</v>
      </c>
      <c r="F113" s="36">
        <v>11996</v>
      </c>
      <c r="G113" s="36">
        <v>26427</v>
      </c>
      <c r="H113" s="36"/>
      <c r="I113" s="36">
        <v>6747</v>
      </c>
      <c r="J113" s="36"/>
    </row>
    <row r="114" spans="1:10" ht="10.5" customHeight="1">
      <c r="A114" s="32">
        <v>106</v>
      </c>
      <c r="B114" s="35" t="s">
        <v>153</v>
      </c>
      <c r="C114" s="36">
        <v>28199</v>
      </c>
      <c r="D114" s="36"/>
      <c r="E114" s="36">
        <f t="shared" si="1"/>
        <v>138036</v>
      </c>
      <c r="F114" s="36">
        <v>27795</v>
      </c>
      <c r="G114" s="36">
        <v>104568</v>
      </c>
      <c r="H114" s="36"/>
      <c r="I114" s="36">
        <v>5673</v>
      </c>
      <c r="J114" s="36"/>
    </row>
    <row r="115" spans="1:10" ht="10.5" customHeight="1">
      <c r="A115" s="32">
        <v>107</v>
      </c>
      <c r="B115" s="35" t="s">
        <v>154</v>
      </c>
      <c r="C115" s="36">
        <v>12642</v>
      </c>
      <c r="D115" s="36"/>
      <c r="E115" s="36">
        <f t="shared" si="1"/>
        <v>50107</v>
      </c>
      <c r="F115" s="36">
        <v>14160</v>
      </c>
      <c r="G115" s="36">
        <v>35947</v>
      </c>
      <c r="H115" s="36"/>
      <c r="I115" s="36"/>
      <c r="J115" s="36"/>
    </row>
    <row r="116" spans="1:10" ht="10.5" customHeight="1">
      <c r="A116" s="32">
        <v>108</v>
      </c>
      <c r="B116" s="35" t="s">
        <v>155</v>
      </c>
      <c r="C116" s="36">
        <v>12398</v>
      </c>
      <c r="D116" s="36"/>
      <c r="E116" s="36">
        <f t="shared" si="1"/>
        <v>49283</v>
      </c>
      <c r="F116" s="36">
        <v>17472</v>
      </c>
      <c r="G116" s="36">
        <v>31811</v>
      </c>
      <c r="H116" s="36"/>
      <c r="I116" s="36"/>
      <c r="J116" s="36"/>
    </row>
    <row r="117" spans="1:10" ht="10.5" customHeight="1">
      <c r="A117" s="32">
        <v>109</v>
      </c>
      <c r="B117" s="35" t="s">
        <v>156</v>
      </c>
      <c r="C117" s="36"/>
      <c r="D117" s="36"/>
      <c r="E117" s="36">
        <f t="shared" si="1"/>
        <v>17970</v>
      </c>
      <c r="F117" s="36"/>
      <c r="G117" s="36"/>
      <c r="H117" s="36">
        <v>17970</v>
      </c>
      <c r="I117" s="36"/>
      <c r="J117" s="36"/>
    </row>
    <row r="118" spans="1:10" ht="10.5" customHeight="1">
      <c r="A118" s="32">
        <v>110</v>
      </c>
      <c r="B118" s="35" t="s">
        <v>157</v>
      </c>
      <c r="C118" s="36">
        <v>22500</v>
      </c>
      <c r="D118" s="36"/>
      <c r="E118" s="36">
        <f t="shared" si="1"/>
        <v>20733</v>
      </c>
      <c r="F118" s="36"/>
      <c r="G118" s="36"/>
      <c r="H118" s="36">
        <v>20733</v>
      </c>
      <c r="I118" s="36"/>
      <c r="J118" s="36"/>
    </row>
    <row r="119" spans="1:10" ht="10.5" customHeight="1">
      <c r="A119" s="32">
        <v>111</v>
      </c>
      <c r="B119" s="35" t="s">
        <v>158</v>
      </c>
      <c r="C119" s="36"/>
      <c r="D119" s="36"/>
      <c r="E119" s="36">
        <f t="shared" si="1"/>
        <v>22847</v>
      </c>
      <c r="F119" s="36"/>
      <c r="G119" s="36"/>
      <c r="H119" s="36">
        <v>22847</v>
      </c>
      <c r="I119" s="36"/>
      <c r="J119" s="36"/>
    </row>
    <row r="120" spans="1:10" ht="10.5" customHeight="1">
      <c r="A120" s="32">
        <v>112</v>
      </c>
      <c r="B120" s="35" t="s">
        <v>159</v>
      </c>
      <c r="C120" s="36"/>
      <c r="D120" s="36"/>
      <c r="E120" s="36">
        <f t="shared" si="1"/>
        <v>20599</v>
      </c>
      <c r="F120" s="36"/>
      <c r="G120" s="36"/>
      <c r="H120" s="36">
        <v>20599</v>
      </c>
      <c r="I120" s="36"/>
      <c r="J120" s="36"/>
    </row>
    <row r="121" spans="1:10" ht="10.5" customHeight="1">
      <c r="A121" s="32">
        <v>113</v>
      </c>
      <c r="B121" s="35" t="s">
        <v>160</v>
      </c>
      <c r="C121" s="36"/>
      <c r="D121" s="36"/>
      <c r="E121" s="36">
        <f t="shared" si="1"/>
        <v>30037</v>
      </c>
      <c r="F121" s="36"/>
      <c r="G121" s="36"/>
      <c r="H121" s="36">
        <v>30037</v>
      </c>
      <c r="I121" s="36"/>
      <c r="J121" s="36"/>
    </row>
    <row r="122" spans="1:10" ht="10.5" customHeight="1">
      <c r="A122" s="32">
        <v>114</v>
      </c>
      <c r="B122" s="35" t="s">
        <v>161</v>
      </c>
      <c r="C122" s="36"/>
      <c r="D122" s="36"/>
      <c r="E122" s="36">
        <f t="shared" si="1"/>
        <v>18501</v>
      </c>
      <c r="F122" s="36"/>
      <c r="G122" s="36"/>
      <c r="H122" s="36">
        <v>18501</v>
      </c>
      <c r="I122" s="36"/>
      <c r="J122" s="36"/>
    </row>
    <row r="123" spans="1:10" ht="10.5" customHeight="1">
      <c r="A123" s="32">
        <v>115</v>
      </c>
      <c r="B123" s="35" t="s">
        <v>162</v>
      </c>
      <c r="C123" s="36"/>
      <c r="D123" s="36"/>
      <c r="E123" s="36">
        <f t="shared" si="1"/>
        <v>15554</v>
      </c>
      <c r="F123" s="36"/>
      <c r="G123" s="36"/>
      <c r="H123" s="36">
        <v>15554</v>
      </c>
      <c r="I123" s="36"/>
      <c r="J123" s="36"/>
    </row>
    <row r="124" spans="1:10" ht="10.5" customHeight="1">
      <c r="A124" s="32">
        <v>116</v>
      </c>
      <c r="B124" s="35" t="s">
        <v>163</v>
      </c>
      <c r="C124" s="36">
        <v>36670</v>
      </c>
      <c r="D124" s="36">
        <v>8728</v>
      </c>
      <c r="E124" s="36">
        <f t="shared" si="1"/>
        <v>118772</v>
      </c>
      <c r="F124" s="36">
        <v>25000</v>
      </c>
      <c r="G124" s="36">
        <v>93772</v>
      </c>
      <c r="H124" s="36"/>
      <c r="I124" s="36"/>
      <c r="J124" s="36"/>
    </row>
    <row r="125" spans="1:10" ht="10.5" customHeight="1">
      <c r="A125" s="32">
        <v>117</v>
      </c>
      <c r="B125" s="35" t="s">
        <v>164</v>
      </c>
      <c r="C125" s="36">
        <v>39947</v>
      </c>
      <c r="D125" s="36">
        <v>23948</v>
      </c>
      <c r="E125" s="36">
        <f t="shared" si="1"/>
        <v>78850</v>
      </c>
      <c r="F125" s="36">
        <v>29000</v>
      </c>
      <c r="G125" s="36">
        <v>49850</v>
      </c>
      <c r="H125" s="36"/>
      <c r="I125" s="36"/>
      <c r="J125" s="36"/>
    </row>
    <row r="126" spans="1:10" ht="10.5" customHeight="1">
      <c r="A126" s="32">
        <v>118</v>
      </c>
      <c r="B126" s="35" t="s">
        <v>165</v>
      </c>
      <c r="C126" s="36">
        <v>13811</v>
      </c>
      <c r="D126" s="36"/>
      <c r="E126" s="36">
        <f t="shared" si="1"/>
        <v>69125</v>
      </c>
      <c r="F126" s="36">
        <v>14000</v>
      </c>
      <c r="G126" s="36">
        <v>55125</v>
      </c>
      <c r="H126" s="36"/>
      <c r="I126" s="36"/>
      <c r="J126" s="36"/>
    </row>
    <row r="127" spans="1:10" ht="10.5" customHeight="1">
      <c r="A127" s="32">
        <v>119</v>
      </c>
      <c r="B127" s="35" t="s">
        <v>166</v>
      </c>
      <c r="C127" s="36">
        <v>7588</v>
      </c>
      <c r="D127" s="36"/>
      <c r="E127" s="36">
        <f t="shared" si="1"/>
        <v>39112</v>
      </c>
      <c r="F127" s="36">
        <v>11670</v>
      </c>
      <c r="G127" s="36">
        <v>27442</v>
      </c>
      <c r="H127" s="36"/>
      <c r="I127" s="36"/>
      <c r="J127" s="36"/>
    </row>
    <row r="128" spans="1:10" ht="10.5" customHeight="1">
      <c r="A128" s="32">
        <v>120</v>
      </c>
      <c r="B128" s="35" t="s">
        <v>167</v>
      </c>
      <c r="C128" s="36">
        <v>41792</v>
      </c>
      <c r="D128" s="36">
        <v>38527</v>
      </c>
      <c r="E128" s="36">
        <f t="shared" si="1"/>
        <v>13026</v>
      </c>
      <c r="F128" s="36">
        <v>3046</v>
      </c>
      <c r="G128" s="36">
        <v>9980</v>
      </c>
      <c r="H128" s="36"/>
      <c r="I128" s="36"/>
      <c r="J128" s="36"/>
    </row>
    <row r="129" spans="1:10" ht="10.5" customHeight="1">
      <c r="A129" s="32">
        <v>121</v>
      </c>
      <c r="B129" s="35" t="s">
        <v>168</v>
      </c>
      <c r="C129" s="36">
        <v>6501</v>
      </c>
      <c r="D129" s="36"/>
      <c r="E129" s="36">
        <f t="shared" si="1"/>
        <v>33504</v>
      </c>
      <c r="F129" s="36">
        <v>9644</v>
      </c>
      <c r="G129" s="36">
        <v>23860</v>
      </c>
      <c r="H129" s="36"/>
      <c r="I129" s="36"/>
      <c r="J129" s="36"/>
    </row>
    <row r="130" spans="1:10" ht="10.5" customHeight="1">
      <c r="A130" s="32">
        <v>122</v>
      </c>
      <c r="B130" s="35" t="s">
        <v>169</v>
      </c>
      <c r="C130" s="36">
        <v>41388</v>
      </c>
      <c r="D130" s="36"/>
      <c r="E130" s="36">
        <f t="shared" si="1"/>
        <v>208637</v>
      </c>
      <c r="F130" s="36">
        <v>65000</v>
      </c>
      <c r="G130" s="36">
        <v>137865</v>
      </c>
      <c r="H130" s="36"/>
      <c r="I130" s="36">
        <v>5772</v>
      </c>
      <c r="J130" s="36"/>
    </row>
    <row r="131" spans="1:10" ht="10.5" customHeight="1">
      <c r="A131" s="32">
        <v>123</v>
      </c>
      <c r="B131" s="35" t="s">
        <v>170</v>
      </c>
      <c r="C131" s="36">
        <v>27600</v>
      </c>
      <c r="D131" s="36"/>
      <c r="E131" s="36">
        <f t="shared" si="1"/>
        <v>59356</v>
      </c>
      <c r="F131" s="36">
        <v>12488</v>
      </c>
      <c r="G131" s="36">
        <v>46868</v>
      </c>
      <c r="H131" s="36"/>
      <c r="I131" s="36"/>
      <c r="J131" s="36"/>
    </row>
    <row r="132" spans="1:10" ht="10.5" customHeight="1">
      <c r="A132" s="32">
        <v>124</v>
      </c>
      <c r="B132" s="35" t="s">
        <v>171</v>
      </c>
      <c r="C132" s="36">
        <v>15699</v>
      </c>
      <c r="D132" s="36"/>
      <c r="E132" s="36">
        <f t="shared" si="1"/>
        <v>79766</v>
      </c>
      <c r="F132" s="36">
        <v>20740</v>
      </c>
      <c r="G132" s="36">
        <v>59026</v>
      </c>
      <c r="H132" s="36"/>
      <c r="I132" s="36"/>
      <c r="J132" s="36"/>
    </row>
    <row r="133" spans="1:10" ht="10.5" customHeight="1">
      <c r="A133" s="32">
        <v>125</v>
      </c>
      <c r="B133" s="35" t="s">
        <v>172</v>
      </c>
      <c r="C133" s="36"/>
      <c r="D133" s="36"/>
      <c r="E133" s="36">
        <f t="shared" si="1"/>
        <v>36109</v>
      </c>
      <c r="F133" s="36"/>
      <c r="G133" s="36"/>
      <c r="H133" s="36">
        <v>36109</v>
      </c>
      <c r="I133" s="36"/>
      <c r="J133" s="36"/>
    </row>
    <row r="134" spans="1:10" ht="10.5" customHeight="1">
      <c r="A134" s="32">
        <v>126</v>
      </c>
      <c r="B134" s="35" t="s">
        <v>173</v>
      </c>
      <c r="C134" s="36">
        <v>26712</v>
      </c>
      <c r="D134" s="36"/>
      <c r="E134" s="36">
        <f t="shared" si="1"/>
        <v>93840</v>
      </c>
      <c r="F134" s="36">
        <v>18994</v>
      </c>
      <c r="G134" s="36">
        <v>74846</v>
      </c>
      <c r="H134" s="36"/>
      <c r="I134" s="36"/>
      <c r="J134" s="36"/>
    </row>
    <row r="135" spans="1:10" ht="10.5" customHeight="1">
      <c r="A135" s="32">
        <v>127</v>
      </c>
      <c r="B135" s="35" t="s">
        <v>174</v>
      </c>
      <c r="C135" s="36">
        <v>10952</v>
      </c>
      <c r="D135" s="36"/>
      <c r="E135" s="36">
        <f t="shared" si="1"/>
        <v>37869</v>
      </c>
      <c r="F135" s="36">
        <v>10997</v>
      </c>
      <c r="G135" s="36">
        <v>26872</v>
      </c>
      <c r="H135" s="36"/>
      <c r="I135" s="36"/>
      <c r="J135" s="36"/>
    </row>
    <row r="136" spans="1:10" ht="10.5" customHeight="1">
      <c r="A136" s="32">
        <v>128</v>
      </c>
      <c r="B136" s="35" t="s">
        <v>175</v>
      </c>
      <c r="C136" s="36">
        <v>16047</v>
      </c>
      <c r="D136" s="36"/>
      <c r="E136" s="36">
        <f t="shared" si="1"/>
        <v>55462</v>
      </c>
      <c r="F136" s="36">
        <v>12200</v>
      </c>
      <c r="G136" s="36">
        <v>43262</v>
      </c>
      <c r="H136" s="36"/>
      <c r="I136" s="36"/>
      <c r="J136" s="36"/>
    </row>
    <row r="137" spans="1:10" ht="10.5" customHeight="1">
      <c r="A137" s="32">
        <v>129</v>
      </c>
      <c r="B137" s="35" t="s">
        <v>176</v>
      </c>
      <c r="C137" s="36">
        <v>28381</v>
      </c>
      <c r="D137" s="36"/>
      <c r="E137" s="36">
        <f t="shared" si="1"/>
        <v>98164</v>
      </c>
      <c r="F137" s="36">
        <v>30123</v>
      </c>
      <c r="G137" s="36">
        <v>68041</v>
      </c>
      <c r="H137" s="36"/>
      <c r="I137" s="36"/>
      <c r="J137" s="36"/>
    </row>
    <row r="138" spans="1:10" ht="10.5" customHeight="1">
      <c r="A138" s="32">
        <v>130</v>
      </c>
      <c r="B138" s="35" t="s">
        <v>177</v>
      </c>
      <c r="C138" s="36">
        <v>26948</v>
      </c>
      <c r="D138" s="36"/>
      <c r="E138" s="36">
        <f t="shared" si="1"/>
        <v>93180</v>
      </c>
      <c r="F138" s="36">
        <v>17719</v>
      </c>
      <c r="G138" s="36">
        <v>75461</v>
      </c>
      <c r="H138" s="36"/>
      <c r="I138" s="36"/>
      <c r="J138" s="36"/>
    </row>
    <row r="139" spans="1:10" ht="10.5" customHeight="1">
      <c r="A139" s="32">
        <v>131</v>
      </c>
      <c r="B139" s="35" t="s">
        <v>178</v>
      </c>
      <c r="C139" s="36">
        <v>15845</v>
      </c>
      <c r="D139" s="36"/>
      <c r="E139" s="36">
        <f t="shared" si="1"/>
        <v>54673</v>
      </c>
      <c r="F139" s="36">
        <v>10408</v>
      </c>
      <c r="G139" s="36">
        <v>44265</v>
      </c>
      <c r="H139" s="36"/>
      <c r="I139" s="36"/>
      <c r="J139" s="36"/>
    </row>
    <row r="140" spans="1:10" ht="10.5" customHeight="1">
      <c r="A140" s="32">
        <v>132</v>
      </c>
      <c r="B140" s="35" t="s">
        <v>179</v>
      </c>
      <c r="C140" s="36">
        <v>11970</v>
      </c>
      <c r="D140" s="36"/>
      <c r="E140" s="36">
        <f t="shared" si="1"/>
        <v>41396</v>
      </c>
      <c r="F140" s="36">
        <v>10917</v>
      </c>
      <c r="G140" s="36">
        <v>30479</v>
      </c>
      <c r="H140" s="36"/>
      <c r="I140" s="36"/>
      <c r="J140" s="36"/>
    </row>
    <row r="141" spans="1:10" ht="10.5" customHeight="1">
      <c r="A141" s="32">
        <v>133</v>
      </c>
      <c r="B141" s="35" t="s">
        <v>180</v>
      </c>
      <c r="C141" s="36">
        <v>17025</v>
      </c>
      <c r="D141" s="36"/>
      <c r="E141" s="36">
        <f t="shared" si="1"/>
        <v>58846</v>
      </c>
      <c r="F141" s="36">
        <v>12035</v>
      </c>
      <c r="G141" s="36">
        <v>46811</v>
      </c>
      <c r="H141" s="36"/>
      <c r="I141" s="36"/>
      <c r="J141" s="36"/>
    </row>
    <row r="142" spans="1:10" ht="10.5" customHeight="1">
      <c r="A142" s="32">
        <v>134</v>
      </c>
      <c r="B142" s="35" t="s">
        <v>181</v>
      </c>
      <c r="C142" s="36">
        <v>28984</v>
      </c>
      <c r="D142" s="36"/>
      <c r="E142" s="36">
        <f t="shared" si="1"/>
        <v>100192</v>
      </c>
      <c r="F142" s="36">
        <v>23317</v>
      </c>
      <c r="G142" s="36">
        <v>76875</v>
      </c>
      <c r="H142" s="36"/>
      <c r="I142" s="36"/>
      <c r="J142" s="36"/>
    </row>
    <row r="143" spans="1:10" ht="10.5" customHeight="1">
      <c r="A143" s="32">
        <v>135</v>
      </c>
      <c r="B143" s="35" t="s">
        <v>182</v>
      </c>
      <c r="C143" s="36">
        <v>13658</v>
      </c>
      <c r="D143" s="36"/>
      <c r="E143" s="36">
        <f t="shared" si="1"/>
        <v>47218</v>
      </c>
      <c r="F143" s="36">
        <v>9435</v>
      </c>
      <c r="G143" s="36">
        <v>37783</v>
      </c>
      <c r="H143" s="36"/>
      <c r="I143" s="36"/>
      <c r="J143" s="36"/>
    </row>
    <row r="144" spans="1:10" ht="10.5" customHeight="1">
      <c r="A144" s="32">
        <v>136</v>
      </c>
      <c r="B144" s="37" t="s">
        <v>183</v>
      </c>
      <c r="C144" s="36"/>
      <c r="D144" s="36"/>
      <c r="E144" s="36">
        <f t="shared" si="1"/>
        <v>200</v>
      </c>
      <c r="F144" s="36">
        <v>0</v>
      </c>
      <c r="G144" s="36">
        <v>0</v>
      </c>
      <c r="H144" s="36">
        <v>200</v>
      </c>
      <c r="I144" s="36"/>
      <c r="J144" s="36"/>
    </row>
    <row r="145" spans="1:10" ht="24" customHeight="1">
      <c r="A145" s="32">
        <v>137</v>
      </c>
      <c r="B145" s="37" t="s">
        <v>184</v>
      </c>
      <c r="C145" s="36">
        <v>7111</v>
      </c>
      <c r="D145" s="36"/>
      <c r="E145" s="36">
        <f t="shared" si="1"/>
        <v>36654</v>
      </c>
      <c r="F145" s="36">
        <v>8384</v>
      </c>
      <c r="G145" s="36">
        <v>28270</v>
      </c>
      <c r="H145" s="36"/>
      <c r="I145" s="36"/>
      <c r="J145" s="36"/>
    </row>
    <row r="146" spans="1:10" ht="10.5" customHeight="1">
      <c r="A146" s="32">
        <v>138</v>
      </c>
      <c r="B146" s="35" t="s">
        <v>185</v>
      </c>
      <c r="C146" s="36">
        <v>3495</v>
      </c>
      <c r="D146" s="36"/>
      <c r="E146" s="36">
        <f t="shared" si="1"/>
        <v>12357</v>
      </c>
      <c r="F146" s="36">
        <v>2626</v>
      </c>
      <c r="G146" s="36">
        <v>9731</v>
      </c>
      <c r="H146" s="36"/>
      <c r="I146" s="36"/>
      <c r="J146" s="36"/>
    </row>
    <row r="147" spans="1:10" ht="21.75" customHeight="1">
      <c r="A147" s="32">
        <v>139</v>
      </c>
      <c r="B147" s="37" t="s">
        <v>186</v>
      </c>
      <c r="C147" s="36"/>
      <c r="D147" s="36"/>
      <c r="E147" s="36">
        <f t="shared" si="1"/>
        <v>5000</v>
      </c>
      <c r="F147" s="36">
        <v>0</v>
      </c>
      <c r="G147" s="36">
        <v>0</v>
      </c>
      <c r="H147" s="36">
        <v>5000</v>
      </c>
      <c r="I147" s="36"/>
      <c r="J147" s="36"/>
    </row>
    <row r="148" spans="1:10" ht="10.5" customHeight="1">
      <c r="A148" s="32">
        <v>140</v>
      </c>
      <c r="B148" s="35" t="s">
        <v>187</v>
      </c>
      <c r="C148" s="36">
        <v>2523</v>
      </c>
      <c r="D148" s="36"/>
      <c r="E148" s="36">
        <f t="shared" si="1"/>
        <v>9780</v>
      </c>
      <c r="F148" s="36">
        <v>2203</v>
      </c>
      <c r="G148" s="36">
        <v>7577</v>
      </c>
      <c r="H148" s="36"/>
      <c r="I148" s="36"/>
      <c r="J148" s="36"/>
    </row>
    <row r="149" spans="1:10" ht="10.5" customHeight="1">
      <c r="A149" s="32">
        <v>141</v>
      </c>
      <c r="B149" s="37" t="s">
        <v>188</v>
      </c>
      <c r="C149" s="36"/>
      <c r="D149" s="36"/>
      <c r="E149" s="36">
        <f t="shared" si="1"/>
        <v>1500</v>
      </c>
      <c r="F149" s="36"/>
      <c r="G149" s="36"/>
      <c r="H149" s="36">
        <v>1500</v>
      </c>
      <c r="I149" s="36"/>
      <c r="J149" s="36"/>
    </row>
    <row r="150" spans="1:10" ht="10.5" customHeight="1">
      <c r="A150" s="32">
        <v>142</v>
      </c>
      <c r="B150" s="37" t="s">
        <v>286</v>
      </c>
      <c r="C150" s="36"/>
      <c r="D150" s="36"/>
      <c r="E150" s="36">
        <f t="shared" ref="E150:E177" si="2">F150+G150+H150+I150+J150</f>
        <v>96</v>
      </c>
      <c r="F150" s="36"/>
      <c r="G150" s="36"/>
      <c r="H150" s="36"/>
      <c r="I150" s="36"/>
      <c r="J150" s="36">
        <v>96</v>
      </c>
    </row>
    <row r="151" spans="1:10" ht="10.5" customHeight="1">
      <c r="A151" s="32">
        <v>143</v>
      </c>
      <c r="B151" s="35" t="s">
        <v>189</v>
      </c>
      <c r="C151" s="36">
        <v>500</v>
      </c>
      <c r="D151" s="36"/>
      <c r="E151" s="36">
        <f t="shared" si="2"/>
        <v>900</v>
      </c>
      <c r="F151" s="36"/>
      <c r="G151" s="36"/>
      <c r="H151" s="36">
        <v>900</v>
      </c>
      <c r="I151" s="36"/>
      <c r="J151" s="36"/>
    </row>
    <row r="152" spans="1:10" ht="10.5" customHeight="1">
      <c r="A152" s="32">
        <v>144</v>
      </c>
      <c r="B152" s="35" t="s">
        <v>190</v>
      </c>
      <c r="C152" s="36">
        <v>500</v>
      </c>
      <c r="D152" s="36"/>
      <c r="E152" s="36">
        <f t="shared" si="2"/>
        <v>1000</v>
      </c>
      <c r="F152" s="36"/>
      <c r="G152" s="36"/>
      <c r="H152" s="36">
        <v>1000</v>
      </c>
      <c r="I152" s="36"/>
      <c r="J152" s="36"/>
    </row>
    <row r="153" spans="1:10" ht="10.5" customHeight="1">
      <c r="A153" s="32">
        <v>145</v>
      </c>
      <c r="B153" s="35" t="s">
        <v>287</v>
      </c>
      <c r="C153" s="36"/>
      <c r="D153" s="36"/>
      <c r="E153" s="36">
        <f t="shared" si="2"/>
        <v>300</v>
      </c>
      <c r="F153" s="36"/>
      <c r="G153" s="36"/>
      <c r="H153" s="36">
        <v>300</v>
      </c>
      <c r="I153" s="36"/>
      <c r="J153" s="36"/>
    </row>
    <row r="154" spans="1:10" ht="10.5" customHeight="1">
      <c r="A154" s="32">
        <v>146</v>
      </c>
      <c r="B154" s="35" t="s">
        <v>288</v>
      </c>
      <c r="C154" s="36"/>
      <c r="D154" s="36"/>
      <c r="E154" s="36">
        <f t="shared" si="2"/>
        <v>400</v>
      </c>
      <c r="F154" s="36"/>
      <c r="G154" s="36"/>
      <c r="H154" s="36">
        <v>400</v>
      </c>
      <c r="I154" s="36"/>
      <c r="J154" s="36"/>
    </row>
    <row r="155" spans="1:10" ht="10.5" customHeight="1">
      <c r="A155" s="32">
        <v>147</v>
      </c>
      <c r="B155" s="35" t="s">
        <v>227</v>
      </c>
      <c r="C155" s="36"/>
      <c r="D155" s="36"/>
      <c r="E155" s="36">
        <f t="shared" si="2"/>
        <v>960</v>
      </c>
      <c r="F155" s="36"/>
      <c r="G155" s="36"/>
      <c r="H155" s="36"/>
      <c r="I155" s="36"/>
      <c r="J155" s="36">
        <v>960</v>
      </c>
    </row>
    <row r="156" spans="1:10" ht="10.5" customHeight="1">
      <c r="A156" s="32">
        <v>148</v>
      </c>
      <c r="B156" s="35" t="s">
        <v>191</v>
      </c>
      <c r="C156" s="36">
        <v>500</v>
      </c>
      <c r="D156" s="36"/>
      <c r="E156" s="36">
        <f t="shared" si="2"/>
        <v>200</v>
      </c>
      <c r="F156" s="36"/>
      <c r="G156" s="36"/>
      <c r="H156" s="36">
        <v>200</v>
      </c>
      <c r="I156" s="36"/>
      <c r="J156" s="36"/>
    </row>
    <row r="157" spans="1:10" ht="10.5" customHeight="1">
      <c r="A157" s="32">
        <v>149</v>
      </c>
      <c r="B157" s="35" t="s">
        <v>289</v>
      </c>
      <c r="C157" s="36"/>
      <c r="D157" s="36"/>
      <c r="E157" s="36">
        <f t="shared" si="2"/>
        <v>200</v>
      </c>
      <c r="F157" s="36"/>
      <c r="G157" s="36"/>
      <c r="H157" s="36">
        <v>200</v>
      </c>
      <c r="I157" s="36"/>
      <c r="J157" s="36"/>
    </row>
    <row r="158" spans="1:10" ht="10.5" customHeight="1">
      <c r="A158" s="32">
        <v>150</v>
      </c>
      <c r="B158" s="35" t="s">
        <v>290</v>
      </c>
      <c r="C158" s="36"/>
      <c r="D158" s="36"/>
      <c r="E158" s="36">
        <f t="shared" si="2"/>
        <v>200</v>
      </c>
      <c r="F158" s="36"/>
      <c r="G158" s="36"/>
      <c r="H158" s="36">
        <v>200</v>
      </c>
      <c r="I158" s="36"/>
      <c r="J158" s="36"/>
    </row>
    <row r="159" spans="1:10" ht="10.5" customHeight="1">
      <c r="A159" s="32">
        <v>151</v>
      </c>
      <c r="B159" s="35" t="s">
        <v>192</v>
      </c>
      <c r="C159" s="36"/>
      <c r="D159" s="36"/>
      <c r="E159" s="36">
        <f t="shared" si="2"/>
        <v>200</v>
      </c>
      <c r="F159" s="36"/>
      <c r="G159" s="36"/>
      <c r="H159" s="36">
        <v>200</v>
      </c>
      <c r="I159" s="36"/>
      <c r="J159" s="36"/>
    </row>
    <row r="160" spans="1:10" ht="10.5" customHeight="1">
      <c r="A160" s="32">
        <v>152</v>
      </c>
      <c r="B160" s="35" t="s">
        <v>193</v>
      </c>
      <c r="C160" s="36"/>
      <c r="D160" s="36"/>
      <c r="E160" s="36">
        <f t="shared" si="2"/>
        <v>0</v>
      </c>
      <c r="F160" s="36"/>
      <c r="G160" s="36"/>
      <c r="H160" s="36">
        <f>200-200</f>
        <v>0</v>
      </c>
      <c r="I160" s="36"/>
      <c r="J160" s="36"/>
    </row>
    <row r="161" spans="1:10" ht="10.5" customHeight="1">
      <c r="A161" s="32">
        <v>153</v>
      </c>
      <c r="B161" s="35" t="s">
        <v>229</v>
      </c>
      <c r="C161" s="36"/>
      <c r="D161" s="36"/>
      <c r="E161" s="36">
        <f t="shared" si="2"/>
        <v>120</v>
      </c>
      <c r="F161" s="36"/>
      <c r="G161" s="36"/>
      <c r="H161" s="36"/>
      <c r="I161" s="36"/>
      <c r="J161" s="36">
        <v>120</v>
      </c>
    </row>
    <row r="162" spans="1:10" ht="10.5" customHeight="1">
      <c r="A162" s="32">
        <v>154</v>
      </c>
      <c r="B162" s="42" t="s">
        <v>194</v>
      </c>
      <c r="C162" s="36"/>
      <c r="D162" s="36"/>
      <c r="E162" s="36">
        <f t="shared" si="2"/>
        <v>200</v>
      </c>
      <c r="F162" s="36"/>
      <c r="G162" s="36"/>
      <c r="H162" s="36">
        <v>200</v>
      </c>
      <c r="I162" s="36"/>
      <c r="J162" s="36"/>
    </row>
    <row r="163" spans="1:10" ht="10.5" customHeight="1">
      <c r="A163" s="32">
        <v>155</v>
      </c>
      <c r="B163" s="42" t="s">
        <v>291</v>
      </c>
      <c r="C163" s="36"/>
      <c r="D163" s="36"/>
      <c r="E163" s="36">
        <f t="shared" si="2"/>
        <v>342</v>
      </c>
      <c r="F163" s="36"/>
      <c r="G163" s="36"/>
      <c r="H163" s="36"/>
      <c r="I163" s="36"/>
      <c r="J163" s="36">
        <v>342</v>
      </c>
    </row>
    <row r="164" spans="1:10" ht="10.5" customHeight="1">
      <c r="A164" s="32">
        <v>156</v>
      </c>
      <c r="B164" s="42" t="s">
        <v>195</v>
      </c>
      <c r="C164" s="36">
        <v>500</v>
      </c>
      <c r="D164" s="36"/>
      <c r="E164" s="36">
        <f t="shared" si="2"/>
        <v>900</v>
      </c>
      <c r="F164" s="36"/>
      <c r="G164" s="36"/>
      <c r="H164" s="36">
        <v>900</v>
      </c>
      <c r="I164" s="36"/>
      <c r="J164" s="36"/>
    </row>
    <row r="165" spans="1:10" ht="10.5" customHeight="1">
      <c r="A165" s="32">
        <v>157</v>
      </c>
      <c r="B165" s="35" t="s">
        <v>196</v>
      </c>
      <c r="C165" s="36">
        <v>500</v>
      </c>
      <c r="D165" s="36"/>
      <c r="E165" s="36">
        <f t="shared" si="2"/>
        <v>1000</v>
      </c>
      <c r="F165" s="36"/>
      <c r="G165" s="36"/>
      <c r="H165" s="36">
        <v>1000</v>
      </c>
      <c r="I165" s="36"/>
      <c r="J165" s="36"/>
    </row>
    <row r="166" spans="1:10" ht="10.5" customHeight="1">
      <c r="A166" s="32">
        <v>158</v>
      </c>
      <c r="B166" s="35" t="s">
        <v>197</v>
      </c>
      <c r="C166" s="36"/>
      <c r="D166" s="36"/>
      <c r="E166" s="36">
        <f t="shared" si="2"/>
        <v>108</v>
      </c>
      <c r="F166" s="36"/>
      <c r="G166" s="36"/>
      <c r="H166" s="36"/>
      <c r="I166" s="36"/>
      <c r="J166" s="36">
        <v>108</v>
      </c>
    </row>
    <row r="167" spans="1:10" ht="10.5" customHeight="1">
      <c r="A167" s="32">
        <v>159</v>
      </c>
      <c r="B167" s="35" t="s">
        <v>199</v>
      </c>
      <c r="C167" s="36"/>
      <c r="D167" s="36"/>
      <c r="E167" s="36">
        <f t="shared" si="2"/>
        <v>15227</v>
      </c>
      <c r="F167" s="36"/>
      <c r="G167" s="36"/>
      <c r="H167" s="36">
        <f>15000+227</f>
        <v>15227</v>
      </c>
      <c r="I167" s="36"/>
      <c r="J167" s="36"/>
    </row>
    <row r="168" spans="1:10" ht="10.5" customHeight="1">
      <c r="A168" s="32">
        <v>160</v>
      </c>
      <c r="B168" s="35" t="s">
        <v>200</v>
      </c>
      <c r="C168" s="36">
        <v>11775</v>
      </c>
      <c r="D168" s="36">
        <v>11775</v>
      </c>
      <c r="E168" s="36">
        <f t="shared" si="2"/>
        <v>26500</v>
      </c>
      <c r="F168" s="36"/>
      <c r="G168" s="36"/>
      <c r="H168" s="36">
        <v>26500</v>
      </c>
      <c r="I168" s="36"/>
      <c r="J168" s="36"/>
    </row>
    <row r="169" spans="1:10" ht="10.5" customHeight="1">
      <c r="A169" s="32">
        <v>161</v>
      </c>
      <c r="B169" s="35" t="s">
        <v>201</v>
      </c>
      <c r="C169" s="36"/>
      <c r="D169" s="36"/>
      <c r="E169" s="36">
        <f t="shared" si="2"/>
        <v>39778</v>
      </c>
      <c r="F169" s="36"/>
      <c r="G169" s="36"/>
      <c r="H169" s="36">
        <v>39778</v>
      </c>
      <c r="I169" s="36"/>
      <c r="J169" s="36"/>
    </row>
    <row r="170" spans="1:10" ht="10.5" customHeight="1">
      <c r="A170" s="32">
        <v>162</v>
      </c>
      <c r="B170" s="35" t="s">
        <v>202</v>
      </c>
      <c r="C170" s="36">
        <v>13000</v>
      </c>
      <c r="D170" s="36">
        <v>9924</v>
      </c>
      <c r="E170" s="36">
        <f t="shared" si="2"/>
        <v>36</v>
      </c>
      <c r="F170" s="36"/>
      <c r="G170" s="36"/>
      <c r="H170" s="36">
        <v>0</v>
      </c>
      <c r="I170" s="36"/>
      <c r="J170" s="36">
        <v>36</v>
      </c>
    </row>
    <row r="171" spans="1:10" ht="10.5" customHeight="1">
      <c r="A171" s="32">
        <v>163</v>
      </c>
      <c r="B171" s="35" t="s">
        <v>203</v>
      </c>
      <c r="C171" s="36"/>
      <c r="D171" s="36"/>
      <c r="E171" s="36">
        <f t="shared" si="2"/>
        <v>38475</v>
      </c>
      <c r="F171" s="36"/>
      <c r="G171" s="36"/>
      <c r="H171" s="36">
        <v>38475</v>
      </c>
      <c r="I171" s="36"/>
      <c r="J171" s="36"/>
    </row>
    <row r="172" spans="1:10" ht="10.5" customHeight="1">
      <c r="A172" s="32">
        <v>164</v>
      </c>
      <c r="B172" s="35" t="s">
        <v>1</v>
      </c>
      <c r="C172" s="36">
        <v>30000</v>
      </c>
      <c r="D172" s="36"/>
      <c r="E172" s="36">
        <f t="shared" si="2"/>
        <v>0</v>
      </c>
      <c r="F172" s="36"/>
      <c r="G172" s="36"/>
      <c r="H172" s="36"/>
      <c r="I172" s="36"/>
      <c r="J172" s="36"/>
    </row>
    <row r="173" spans="1:10" ht="10.5" customHeight="1">
      <c r="A173" s="32">
        <v>165</v>
      </c>
      <c r="B173" s="35" t="s">
        <v>206</v>
      </c>
      <c r="C173" s="36">
        <f>44380</f>
        <v>44380</v>
      </c>
      <c r="D173" s="36">
        <f>33620-9620</f>
        <v>24000</v>
      </c>
      <c r="E173" s="36">
        <f t="shared" si="2"/>
        <v>64601</v>
      </c>
      <c r="F173" s="36">
        <v>14337</v>
      </c>
      <c r="G173" s="36">
        <v>50264</v>
      </c>
      <c r="H173" s="36"/>
      <c r="I173" s="36"/>
      <c r="J173" s="36"/>
    </row>
    <row r="174" spans="1:10" s="39" customFormat="1" ht="44.25" customHeight="1">
      <c r="A174" s="32">
        <v>166</v>
      </c>
      <c r="B174" s="40" t="s">
        <v>233</v>
      </c>
      <c r="C174" s="38">
        <v>32602</v>
      </c>
      <c r="D174" s="36"/>
      <c r="E174" s="36">
        <f t="shared" si="2"/>
        <v>129323</v>
      </c>
      <c r="F174" s="38">
        <v>26260</v>
      </c>
      <c r="G174" s="38">
        <v>103063</v>
      </c>
      <c r="H174" s="38"/>
      <c r="I174" s="38"/>
      <c r="J174" s="38"/>
    </row>
    <row r="175" spans="1:10" ht="10.5" customHeight="1">
      <c r="A175" s="32">
        <v>167</v>
      </c>
      <c r="B175" s="35" t="s">
        <v>258</v>
      </c>
      <c r="C175" s="36">
        <v>4000</v>
      </c>
      <c r="D175" s="36"/>
      <c r="E175" s="36">
        <f t="shared" si="2"/>
        <v>0</v>
      </c>
      <c r="F175" s="36"/>
      <c r="G175" s="36"/>
      <c r="H175" s="36"/>
      <c r="I175" s="36"/>
      <c r="J175" s="36"/>
    </row>
    <row r="176" spans="1:10" ht="10.5" customHeight="1">
      <c r="A176" s="32">
        <v>168</v>
      </c>
      <c r="B176" s="35" t="s">
        <v>259</v>
      </c>
      <c r="C176" s="36"/>
      <c r="D176" s="36"/>
      <c r="E176" s="36">
        <f t="shared" si="2"/>
        <v>1000</v>
      </c>
      <c r="F176" s="36"/>
      <c r="G176" s="36"/>
      <c r="H176" s="36">
        <v>1000</v>
      </c>
      <c r="I176" s="36"/>
      <c r="J176" s="36"/>
    </row>
    <row r="177" spans="1:10" ht="10.5" customHeight="1">
      <c r="A177" s="43"/>
      <c r="B177" s="35" t="s">
        <v>260</v>
      </c>
      <c r="C177" s="36"/>
      <c r="D177" s="36"/>
      <c r="E177" s="36">
        <f t="shared" si="2"/>
        <v>2934</v>
      </c>
      <c r="F177" s="36"/>
      <c r="G177" s="36"/>
      <c r="H177" s="36">
        <v>1700</v>
      </c>
      <c r="I177" s="36"/>
      <c r="J177" s="36">
        <v>1234</v>
      </c>
    </row>
    <row r="178" spans="1:10" ht="10.5" customHeight="1">
      <c r="A178" s="43"/>
      <c r="B178" s="35" t="s">
        <v>209</v>
      </c>
      <c r="C178" s="36">
        <v>9204</v>
      </c>
      <c r="D178" s="36"/>
      <c r="E178" s="36">
        <v>22715</v>
      </c>
      <c r="F178" s="36"/>
      <c r="G178" s="36"/>
      <c r="H178" s="36"/>
      <c r="I178" s="36"/>
      <c r="J178" s="36"/>
    </row>
    <row r="179" spans="1:10" s="47" customFormat="1" ht="10.5" customHeight="1">
      <c r="A179" s="44"/>
      <c r="B179" s="45" t="s">
        <v>13</v>
      </c>
      <c r="C179" s="46">
        <f>SUM(C8:C176)+C177+C178</f>
        <v>2273489</v>
      </c>
      <c r="D179" s="46">
        <f>D65+D101+D102+D124+D125+D128+D168+D170+D173</f>
        <v>137295</v>
      </c>
      <c r="E179" s="46">
        <f t="shared" ref="E179:J179" si="3">SUM(E8:E176)+E177+E178</f>
        <v>8038408</v>
      </c>
      <c r="F179" s="46">
        <f t="shared" si="3"/>
        <v>1769223</v>
      </c>
      <c r="G179" s="46">
        <f t="shared" si="3"/>
        <v>5569286</v>
      </c>
      <c r="H179" s="46">
        <f t="shared" si="3"/>
        <v>592261</v>
      </c>
      <c r="I179" s="46">
        <f t="shared" si="3"/>
        <v>82027</v>
      </c>
      <c r="J179" s="46">
        <f t="shared" si="3"/>
        <v>2896</v>
      </c>
    </row>
  </sheetData>
  <mergeCells count="12">
    <mergeCell ref="I5:I6"/>
    <mergeCell ref="J5:J6"/>
    <mergeCell ref="A1:J2"/>
    <mergeCell ref="A3:A6"/>
    <mergeCell ref="B3:B6"/>
    <mergeCell ref="C3:C6"/>
    <mergeCell ref="D3:D6"/>
    <mergeCell ref="E3:J3"/>
    <mergeCell ref="E4:E6"/>
    <mergeCell ref="F4:J4"/>
    <mergeCell ref="F5:G5"/>
    <mergeCell ref="H5:H6"/>
  </mergeCells>
  <pageMargins left="0.51181102362204722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zoomScale="110" zoomScaleNormal="110" workbookViewId="0">
      <pane xSplit="2" ySplit="6" topLeftCell="C160" activePane="bottomRight" state="frozen"/>
      <selection pane="topRight" activeCell="C1" sqref="C1"/>
      <selection pane="bottomLeft" activeCell="A7" sqref="A7"/>
      <selection pane="bottomRight" activeCell="F175" sqref="F175"/>
    </sheetView>
  </sheetViews>
  <sheetFormatPr defaultRowHeight="15"/>
  <cols>
    <col min="1" max="1" width="4.28515625" style="50" customWidth="1"/>
    <col min="2" max="2" width="31.140625" style="29" customWidth="1"/>
    <col min="3" max="4" width="8.140625" style="50" customWidth="1"/>
    <col min="5" max="6" width="8" style="50" customWidth="1"/>
    <col min="7" max="8" width="8.28515625" style="50" customWidth="1"/>
    <col min="9" max="9" width="9.28515625" style="50" customWidth="1"/>
    <col min="10" max="10" width="7.7109375" style="50" customWidth="1"/>
    <col min="11" max="11" width="8.140625" style="50" customWidth="1"/>
    <col min="12" max="12" width="8" style="50" customWidth="1"/>
    <col min="13" max="13" width="8.42578125" style="50" customWidth="1"/>
    <col min="14" max="14" width="12.42578125" style="50" customWidth="1"/>
    <col min="15" max="16384" width="9.140625" style="50"/>
  </cols>
  <sheetData>
    <row r="1" spans="1:16" ht="18.75" customHeight="1">
      <c r="A1" s="133" t="s">
        <v>294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25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1.25" customHeight="1">
      <c r="A3" s="136" t="s">
        <v>36</v>
      </c>
      <c r="B3" s="136" t="s">
        <v>37</v>
      </c>
      <c r="C3" s="136" t="s">
        <v>38</v>
      </c>
      <c r="D3" s="136" t="s">
        <v>39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22.5" customHeight="1">
      <c r="A4" s="136"/>
      <c r="B4" s="136"/>
      <c r="C4" s="136"/>
      <c r="D4" s="136" t="s">
        <v>40</v>
      </c>
      <c r="E4" s="136" t="s">
        <v>41</v>
      </c>
      <c r="F4" s="136"/>
      <c r="G4" s="136" t="s">
        <v>42</v>
      </c>
      <c r="H4" s="136" t="s">
        <v>43</v>
      </c>
      <c r="I4" s="136" t="s">
        <v>44</v>
      </c>
      <c r="J4" s="136" t="s">
        <v>45</v>
      </c>
      <c r="K4" s="136" t="s">
        <v>39</v>
      </c>
      <c r="L4" s="136"/>
      <c r="M4" s="136" t="s">
        <v>46</v>
      </c>
      <c r="N4" s="136" t="s">
        <v>47</v>
      </c>
      <c r="O4" s="137" t="s">
        <v>48</v>
      </c>
      <c r="P4" s="138"/>
    </row>
    <row r="5" spans="1:16" ht="45.75" customHeight="1">
      <c r="A5" s="136"/>
      <c r="B5" s="136"/>
      <c r="C5" s="136"/>
      <c r="D5" s="136"/>
      <c r="E5" s="31" t="s">
        <v>49</v>
      </c>
      <c r="F5" s="31" t="s">
        <v>50</v>
      </c>
      <c r="G5" s="136"/>
      <c r="H5" s="136"/>
      <c r="I5" s="136"/>
      <c r="J5" s="136"/>
      <c r="K5" s="31" t="s">
        <v>51</v>
      </c>
      <c r="L5" s="31" t="s">
        <v>52</v>
      </c>
      <c r="M5" s="136"/>
      <c r="N5" s="136"/>
      <c r="O5" s="31" t="s">
        <v>53</v>
      </c>
      <c r="P5" s="31" t="s">
        <v>54</v>
      </c>
    </row>
    <row r="6" spans="1:16" s="51" customFormat="1" ht="11.2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51" customFormat="1" ht="12">
      <c r="A7" s="32">
        <v>1</v>
      </c>
      <c r="B7" s="35" t="s">
        <v>55</v>
      </c>
      <c r="C7" s="52">
        <f t="shared" ref="C7:C71" si="0">D7+E7+F7+G7+H7+I7+J7+M7+N7+O7+P7</f>
        <v>181953</v>
      </c>
      <c r="D7" s="52"/>
      <c r="E7" s="52">
        <v>17262</v>
      </c>
      <c r="F7" s="52">
        <v>3645</v>
      </c>
      <c r="G7" s="52">
        <v>1397</v>
      </c>
      <c r="H7" s="52">
        <v>7128</v>
      </c>
      <c r="I7" s="52">
        <v>82979</v>
      </c>
      <c r="J7" s="52">
        <f t="shared" ref="J7:J99" si="1">K7+L7</f>
        <v>1464</v>
      </c>
      <c r="K7" s="52">
        <v>982</v>
      </c>
      <c r="L7" s="52">
        <v>482</v>
      </c>
      <c r="M7" s="52"/>
      <c r="N7" s="52"/>
      <c r="O7" s="52">
        <v>15023</v>
      </c>
      <c r="P7" s="52">
        <v>53055</v>
      </c>
    </row>
    <row r="8" spans="1:16" s="51" customFormat="1" ht="15" customHeight="1">
      <c r="A8" s="32">
        <v>2</v>
      </c>
      <c r="B8" s="35" t="s">
        <v>56</v>
      </c>
      <c r="C8" s="52">
        <f t="shared" si="0"/>
        <v>80239</v>
      </c>
      <c r="D8" s="52"/>
      <c r="E8" s="52">
        <v>7251</v>
      </c>
      <c r="F8" s="52">
        <v>2175</v>
      </c>
      <c r="G8" s="52">
        <v>2026</v>
      </c>
      <c r="H8" s="52">
        <v>2858</v>
      </c>
      <c r="I8" s="52">
        <v>33294</v>
      </c>
      <c r="J8" s="52">
        <f t="shared" si="1"/>
        <v>1464</v>
      </c>
      <c r="K8" s="52">
        <v>904</v>
      </c>
      <c r="L8" s="52">
        <v>560</v>
      </c>
      <c r="M8" s="52"/>
      <c r="N8" s="52"/>
      <c r="O8" s="52">
        <v>10987</v>
      </c>
      <c r="P8" s="52">
        <v>20184</v>
      </c>
    </row>
    <row r="9" spans="1:16" s="51" customFormat="1" ht="12">
      <c r="A9" s="32">
        <v>3</v>
      </c>
      <c r="B9" s="35" t="s">
        <v>57</v>
      </c>
      <c r="C9" s="52">
        <f t="shared" si="0"/>
        <v>49018</v>
      </c>
      <c r="D9" s="52"/>
      <c r="E9" s="52">
        <v>4794</v>
      </c>
      <c r="F9" s="52">
        <v>1198</v>
      </c>
      <c r="G9" s="52">
        <v>1665</v>
      </c>
      <c r="H9" s="52">
        <v>1565</v>
      </c>
      <c r="I9" s="52">
        <v>20248</v>
      </c>
      <c r="J9" s="52">
        <f t="shared" si="1"/>
        <v>0</v>
      </c>
      <c r="K9" s="52"/>
      <c r="L9" s="52"/>
      <c r="M9" s="52"/>
      <c r="N9" s="52"/>
      <c r="O9" s="52">
        <v>6978</v>
      </c>
      <c r="P9" s="52">
        <v>12570</v>
      </c>
    </row>
    <row r="10" spans="1:16" s="53" customFormat="1" ht="12">
      <c r="A10" s="36">
        <v>4</v>
      </c>
      <c r="B10" s="35" t="s">
        <v>58</v>
      </c>
      <c r="C10" s="52">
        <f t="shared" si="0"/>
        <v>30607</v>
      </c>
      <c r="D10" s="52"/>
      <c r="E10" s="52">
        <v>2990</v>
      </c>
      <c r="F10" s="52">
        <v>897</v>
      </c>
      <c r="G10" s="52">
        <v>405</v>
      </c>
      <c r="H10" s="52">
        <v>1140</v>
      </c>
      <c r="I10" s="52">
        <v>11408</v>
      </c>
      <c r="J10" s="52">
        <f t="shared" si="1"/>
        <v>0</v>
      </c>
      <c r="K10" s="52"/>
      <c r="L10" s="52"/>
      <c r="M10" s="52"/>
      <c r="N10" s="52"/>
      <c r="O10" s="52">
        <v>2916</v>
      </c>
      <c r="P10" s="52">
        <v>10851</v>
      </c>
    </row>
    <row r="11" spans="1:16" s="53" customFormat="1" ht="12">
      <c r="A11" s="36">
        <v>5</v>
      </c>
      <c r="B11" s="35" t="s">
        <v>59</v>
      </c>
      <c r="C11" s="52">
        <f t="shared" si="0"/>
        <v>58799</v>
      </c>
      <c r="D11" s="52"/>
      <c r="E11" s="52">
        <v>5400</v>
      </c>
      <c r="F11" s="52">
        <v>1985</v>
      </c>
      <c r="G11" s="52">
        <v>178</v>
      </c>
      <c r="H11" s="52">
        <v>2158</v>
      </c>
      <c r="I11" s="52">
        <v>22995</v>
      </c>
      <c r="J11" s="52">
        <f t="shared" si="1"/>
        <v>1464</v>
      </c>
      <c r="K11" s="52">
        <v>1000</v>
      </c>
      <c r="L11" s="52">
        <v>464</v>
      </c>
      <c r="M11" s="52"/>
      <c r="N11" s="52"/>
      <c r="O11" s="52">
        <v>6649</v>
      </c>
      <c r="P11" s="52">
        <v>17970</v>
      </c>
    </row>
    <row r="12" spans="1:16" s="53" customFormat="1" ht="12">
      <c r="A12" s="36">
        <v>6</v>
      </c>
      <c r="B12" s="35" t="s">
        <v>60</v>
      </c>
      <c r="C12" s="52">
        <f t="shared" si="0"/>
        <v>88542</v>
      </c>
      <c r="D12" s="52"/>
      <c r="E12" s="52">
        <v>8270</v>
      </c>
      <c r="F12" s="52">
        <v>2424</v>
      </c>
      <c r="G12" s="52">
        <v>1745</v>
      </c>
      <c r="H12" s="52">
        <v>3286</v>
      </c>
      <c r="I12" s="52">
        <v>35341</v>
      </c>
      <c r="J12" s="52">
        <f t="shared" si="1"/>
        <v>0</v>
      </c>
      <c r="K12" s="52"/>
      <c r="L12" s="52"/>
      <c r="M12" s="52"/>
      <c r="N12" s="52"/>
      <c r="O12" s="52">
        <v>9239</v>
      </c>
      <c r="P12" s="52">
        <v>28237</v>
      </c>
    </row>
    <row r="13" spans="1:16" s="53" customFormat="1" ht="12">
      <c r="A13" s="36">
        <v>7</v>
      </c>
      <c r="B13" s="35" t="s">
        <v>61</v>
      </c>
      <c r="C13" s="52">
        <f t="shared" si="0"/>
        <v>400</v>
      </c>
      <c r="D13" s="52"/>
      <c r="E13" s="52"/>
      <c r="F13" s="52"/>
      <c r="G13" s="52"/>
      <c r="H13" s="52"/>
      <c r="I13" s="52"/>
      <c r="J13" s="52">
        <f t="shared" si="1"/>
        <v>0</v>
      </c>
      <c r="K13" s="52"/>
      <c r="L13" s="52"/>
      <c r="M13" s="52"/>
      <c r="N13" s="52">
        <v>400</v>
      </c>
      <c r="O13" s="52"/>
      <c r="P13" s="52"/>
    </row>
    <row r="14" spans="1:16" s="53" customFormat="1" ht="12">
      <c r="A14" s="36">
        <v>8</v>
      </c>
      <c r="B14" s="35" t="s">
        <v>62</v>
      </c>
      <c r="C14" s="52">
        <f t="shared" si="0"/>
        <v>200</v>
      </c>
      <c r="D14" s="52"/>
      <c r="E14" s="52"/>
      <c r="F14" s="52"/>
      <c r="G14" s="52"/>
      <c r="H14" s="52"/>
      <c r="I14" s="52"/>
      <c r="J14" s="52">
        <f t="shared" si="1"/>
        <v>0</v>
      </c>
      <c r="K14" s="52"/>
      <c r="L14" s="52"/>
      <c r="M14" s="52"/>
      <c r="N14" s="52">
        <v>200</v>
      </c>
      <c r="O14" s="52"/>
      <c r="P14" s="52"/>
    </row>
    <row r="15" spans="1:16" s="53" customFormat="1" ht="12">
      <c r="A15" s="36">
        <v>9</v>
      </c>
      <c r="B15" s="35" t="s">
        <v>63</v>
      </c>
      <c r="C15" s="52">
        <f t="shared" si="0"/>
        <v>200</v>
      </c>
      <c r="D15" s="52"/>
      <c r="E15" s="52"/>
      <c r="F15" s="52"/>
      <c r="G15" s="52"/>
      <c r="H15" s="52"/>
      <c r="I15" s="52"/>
      <c r="J15" s="52">
        <f t="shared" si="1"/>
        <v>0</v>
      </c>
      <c r="K15" s="52"/>
      <c r="L15" s="52"/>
      <c r="M15" s="52"/>
      <c r="N15" s="52">
        <v>200</v>
      </c>
      <c r="O15" s="52"/>
      <c r="P15" s="52"/>
    </row>
    <row r="16" spans="1:16" s="53" customFormat="1" ht="12">
      <c r="A16" s="36">
        <v>10</v>
      </c>
      <c r="B16" s="35" t="s">
        <v>64</v>
      </c>
      <c r="C16" s="52">
        <f t="shared" si="0"/>
        <v>200</v>
      </c>
      <c r="D16" s="52"/>
      <c r="E16" s="52"/>
      <c r="F16" s="52"/>
      <c r="G16" s="52"/>
      <c r="H16" s="52"/>
      <c r="I16" s="52"/>
      <c r="J16" s="52">
        <f t="shared" si="1"/>
        <v>0</v>
      </c>
      <c r="K16" s="52"/>
      <c r="L16" s="52"/>
      <c r="M16" s="52"/>
      <c r="N16" s="52">
        <v>200</v>
      </c>
      <c r="O16" s="52"/>
      <c r="P16" s="52"/>
    </row>
    <row r="17" spans="1:16" s="53" customFormat="1" ht="12">
      <c r="A17" s="36">
        <v>11</v>
      </c>
      <c r="B17" s="35" t="s">
        <v>65</v>
      </c>
      <c r="C17" s="52">
        <f t="shared" si="0"/>
        <v>200</v>
      </c>
      <c r="D17" s="52"/>
      <c r="E17" s="52"/>
      <c r="F17" s="52"/>
      <c r="G17" s="52"/>
      <c r="H17" s="52"/>
      <c r="I17" s="52"/>
      <c r="J17" s="52">
        <f t="shared" si="1"/>
        <v>0</v>
      </c>
      <c r="K17" s="52"/>
      <c r="L17" s="52"/>
      <c r="M17" s="52"/>
      <c r="N17" s="52">
        <v>200</v>
      </c>
      <c r="O17" s="52"/>
      <c r="P17" s="52"/>
    </row>
    <row r="18" spans="1:16" s="53" customFormat="1" ht="12">
      <c r="A18" s="36">
        <v>12</v>
      </c>
      <c r="B18" s="35" t="s">
        <v>66</v>
      </c>
      <c r="C18" s="52">
        <f t="shared" si="0"/>
        <v>231843</v>
      </c>
      <c r="D18" s="52">
        <v>25303</v>
      </c>
      <c r="E18" s="52">
        <v>19059</v>
      </c>
      <c r="F18" s="52">
        <v>11585</v>
      </c>
      <c r="G18" s="52">
        <v>6993</v>
      </c>
      <c r="H18" s="52">
        <v>7518</v>
      </c>
      <c r="I18" s="52">
        <v>92629</v>
      </c>
      <c r="J18" s="52">
        <v>1464</v>
      </c>
      <c r="K18" s="52">
        <v>950</v>
      </c>
      <c r="L18" s="52">
        <v>514</v>
      </c>
      <c r="M18" s="52"/>
      <c r="N18" s="52"/>
      <c r="O18" s="52">
        <v>25699</v>
      </c>
      <c r="P18" s="52">
        <v>41593</v>
      </c>
    </row>
    <row r="19" spans="1:16" s="53" customFormat="1" ht="12">
      <c r="A19" s="36">
        <v>13</v>
      </c>
      <c r="B19" s="35" t="s">
        <v>67</v>
      </c>
      <c r="C19" s="52">
        <f t="shared" si="0"/>
        <v>146252</v>
      </c>
      <c r="D19" s="52"/>
      <c r="E19" s="52">
        <v>13577</v>
      </c>
      <c r="F19" s="52">
        <v>8146</v>
      </c>
      <c r="G19" s="52">
        <v>2695</v>
      </c>
      <c r="H19" s="52">
        <v>5231</v>
      </c>
      <c r="I19" s="52">
        <v>67956</v>
      </c>
      <c r="J19" s="52">
        <v>1464</v>
      </c>
      <c r="K19" s="52">
        <v>878</v>
      </c>
      <c r="L19" s="52">
        <v>586</v>
      </c>
      <c r="M19" s="52"/>
      <c r="N19" s="52"/>
      <c r="O19" s="52">
        <v>19503</v>
      </c>
      <c r="P19" s="52">
        <v>27680</v>
      </c>
    </row>
    <row r="20" spans="1:16" s="53" customFormat="1" ht="12">
      <c r="A20" s="36">
        <v>14</v>
      </c>
      <c r="B20" s="35" t="s">
        <v>68</v>
      </c>
      <c r="C20" s="52">
        <f t="shared" si="0"/>
        <v>84448</v>
      </c>
      <c r="D20" s="52"/>
      <c r="E20" s="52">
        <v>7365</v>
      </c>
      <c r="F20" s="52">
        <v>2300</v>
      </c>
      <c r="G20" s="52">
        <v>2896</v>
      </c>
      <c r="H20" s="52">
        <v>2823</v>
      </c>
      <c r="I20" s="52">
        <v>48646</v>
      </c>
      <c r="J20" s="52">
        <f t="shared" si="1"/>
        <v>0</v>
      </c>
      <c r="K20" s="52"/>
      <c r="L20" s="52"/>
      <c r="M20" s="52"/>
      <c r="N20" s="52"/>
      <c r="O20" s="52">
        <v>9243</v>
      </c>
      <c r="P20" s="52">
        <v>11175</v>
      </c>
    </row>
    <row r="21" spans="1:16" s="53" customFormat="1" ht="12">
      <c r="A21" s="36">
        <v>15</v>
      </c>
      <c r="B21" s="35" t="s">
        <v>69</v>
      </c>
      <c r="C21" s="52">
        <f t="shared" si="0"/>
        <v>36583</v>
      </c>
      <c r="D21" s="52"/>
      <c r="E21" s="52">
        <v>2983</v>
      </c>
      <c r="F21" s="52">
        <v>888</v>
      </c>
      <c r="G21" s="52">
        <v>180</v>
      </c>
      <c r="H21" s="52">
        <v>1062</v>
      </c>
      <c r="I21" s="52">
        <v>21113</v>
      </c>
      <c r="J21" s="52">
        <f t="shared" si="1"/>
        <v>0</v>
      </c>
      <c r="K21" s="52"/>
      <c r="L21" s="52"/>
      <c r="M21" s="52"/>
      <c r="N21" s="52"/>
      <c r="O21" s="52">
        <v>6503</v>
      </c>
      <c r="P21" s="52">
        <v>3854</v>
      </c>
    </row>
    <row r="22" spans="1:16" s="53" customFormat="1" ht="12">
      <c r="A22" s="36">
        <v>16</v>
      </c>
      <c r="B22" s="35" t="s">
        <v>70</v>
      </c>
      <c r="C22" s="52">
        <f t="shared" si="0"/>
        <v>400</v>
      </c>
      <c r="D22" s="52"/>
      <c r="E22" s="52"/>
      <c r="F22" s="52"/>
      <c r="G22" s="52"/>
      <c r="H22" s="52"/>
      <c r="I22" s="52"/>
      <c r="J22" s="52">
        <f t="shared" si="1"/>
        <v>0</v>
      </c>
      <c r="K22" s="52"/>
      <c r="L22" s="52"/>
      <c r="M22" s="52"/>
      <c r="N22" s="52">
        <v>400</v>
      </c>
      <c r="O22" s="52"/>
      <c r="P22" s="52"/>
    </row>
    <row r="23" spans="1:16" s="53" customFormat="1" ht="12">
      <c r="A23" s="36">
        <v>17</v>
      </c>
      <c r="B23" s="35" t="s">
        <v>71</v>
      </c>
      <c r="C23" s="52">
        <f t="shared" si="0"/>
        <v>35577</v>
      </c>
      <c r="D23" s="52"/>
      <c r="E23" s="52">
        <v>2734</v>
      </c>
      <c r="F23" s="52">
        <v>748</v>
      </c>
      <c r="G23" s="52">
        <v>420</v>
      </c>
      <c r="H23" s="52">
        <v>886</v>
      </c>
      <c r="I23" s="52">
        <v>12420</v>
      </c>
      <c r="J23" s="52">
        <f t="shared" si="1"/>
        <v>0</v>
      </c>
      <c r="K23" s="52"/>
      <c r="L23" s="52"/>
      <c r="M23" s="52"/>
      <c r="N23" s="52"/>
      <c r="O23" s="52">
        <v>9440</v>
      </c>
      <c r="P23" s="52">
        <v>8929</v>
      </c>
    </row>
    <row r="24" spans="1:16" s="53" customFormat="1" ht="12">
      <c r="A24" s="36">
        <v>18</v>
      </c>
      <c r="B24" s="35" t="s">
        <v>72</v>
      </c>
      <c r="C24" s="52">
        <f t="shared" si="0"/>
        <v>127345</v>
      </c>
      <c r="D24" s="52">
        <v>17535</v>
      </c>
      <c r="E24" s="52">
        <v>9198</v>
      </c>
      <c r="F24" s="52">
        <v>2759</v>
      </c>
      <c r="G24" s="52">
        <v>4470</v>
      </c>
      <c r="H24" s="52">
        <v>4336</v>
      </c>
      <c r="I24" s="52">
        <v>60358</v>
      </c>
      <c r="J24" s="52">
        <f t="shared" si="1"/>
        <v>1464</v>
      </c>
      <c r="K24" s="52">
        <v>884</v>
      </c>
      <c r="L24" s="52">
        <v>580</v>
      </c>
      <c r="M24" s="52"/>
      <c r="N24" s="52"/>
      <c r="O24" s="52">
        <v>8807</v>
      </c>
      <c r="P24" s="52">
        <v>18418</v>
      </c>
    </row>
    <row r="25" spans="1:16" s="53" customFormat="1" ht="24">
      <c r="A25" s="36">
        <v>19</v>
      </c>
      <c r="B25" s="37" t="s">
        <v>73</v>
      </c>
      <c r="C25" s="52">
        <f t="shared" si="0"/>
        <v>6000</v>
      </c>
      <c r="D25" s="52"/>
      <c r="E25" s="52"/>
      <c r="F25" s="52"/>
      <c r="G25" s="52"/>
      <c r="H25" s="52"/>
      <c r="I25" s="52"/>
      <c r="J25" s="52">
        <f t="shared" si="1"/>
        <v>0</v>
      </c>
      <c r="K25" s="52"/>
      <c r="L25" s="52"/>
      <c r="M25" s="52"/>
      <c r="N25" s="52">
        <v>6000</v>
      </c>
      <c r="O25" s="52"/>
      <c r="P25" s="52"/>
    </row>
    <row r="26" spans="1:16" s="53" customFormat="1" ht="12">
      <c r="A26" s="36">
        <v>20</v>
      </c>
      <c r="B26" s="35" t="s">
        <v>74</v>
      </c>
      <c r="C26" s="52">
        <f t="shared" si="0"/>
        <v>132329</v>
      </c>
      <c r="D26" s="52">
        <v>15378</v>
      </c>
      <c r="E26" s="52">
        <v>9896</v>
      </c>
      <c r="F26" s="52">
        <v>2969</v>
      </c>
      <c r="G26" s="52">
        <v>1921</v>
      </c>
      <c r="H26" s="52">
        <v>4340</v>
      </c>
      <c r="I26" s="52">
        <v>56503</v>
      </c>
      <c r="J26" s="52">
        <f t="shared" si="1"/>
        <v>1464</v>
      </c>
      <c r="K26" s="52">
        <v>893</v>
      </c>
      <c r="L26" s="52">
        <v>571</v>
      </c>
      <c r="M26" s="52"/>
      <c r="N26" s="52"/>
      <c r="O26" s="52">
        <v>8123</v>
      </c>
      <c r="P26" s="52">
        <v>31735</v>
      </c>
    </row>
    <row r="27" spans="1:16" s="53" customFormat="1" ht="12">
      <c r="A27" s="36">
        <v>21</v>
      </c>
      <c r="B27" s="35" t="s">
        <v>75</v>
      </c>
      <c r="C27" s="52">
        <f t="shared" si="0"/>
        <v>4500</v>
      </c>
      <c r="D27" s="52"/>
      <c r="E27" s="52"/>
      <c r="F27" s="52"/>
      <c r="G27" s="52"/>
      <c r="H27" s="52"/>
      <c r="I27" s="52"/>
      <c r="J27" s="52">
        <f t="shared" si="1"/>
        <v>0</v>
      </c>
      <c r="K27" s="52"/>
      <c r="L27" s="52"/>
      <c r="M27" s="52"/>
      <c r="N27" s="52">
        <v>4500</v>
      </c>
      <c r="O27" s="52"/>
      <c r="P27" s="52"/>
    </row>
    <row r="28" spans="1:16" s="53" customFormat="1" ht="12">
      <c r="A28" s="36">
        <v>22</v>
      </c>
      <c r="B28" s="35" t="s">
        <v>76</v>
      </c>
      <c r="C28" s="52">
        <f t="shared" si="0"/>
        <v>302341</v>
      </c>
      <c r="D28" s="52">
        <v>28044</v>
      </c>
      <c r="E28" s="52">
        <v>24271</v>
      </c>
      <c r="F28" s="52">
        <v>7284</v>
      </c>
      <c r="G28" s="52">
        <v>1209</v>
      </c>
      <c r="H28" s="52">
        <v>12329</v>
      </c>
      <c r="I28" s="52">
        <v>118643</v>
      </c>
      <c r="J28" s="52">
        <f t="shared" si="1"/>
        <v>1464</v>
      </c>
      <c r="K28" s="52">
        <v>1024</v>
      </c>
      <c r="L28" s="52">
        <v>440</v>
      </c>
      <c r="M28" s="52"/>
      <c r="N28" s="52"/>
      <c r="O28" s="52">
        <v>40919</v>
      </c>
      <c r="P28" s="52">
        <v>68178</v>
      </c>
    </row>
    <row r="29" spans="1:16" s="55" customFormat="1" ht="33.75" customHeight="1">
      <c r="A29" s="36">
        <v>23</v>
      </c>
      <c r="B29" s="1" t="s">
        <v>77</v>
      </c>
      <c r="C29" s="52">
        <f t="shared" si="0"/>
        <v>35022</v>
      </c>
      <c r="D29" s="54"/>
      <c r="E29" s="54">
        <v>3377</v>
      </c>
      <c r="F29" s="54">
        <v>949</v>
      </c>
      <c r="G29" s="54">
        <v>189</v>
      </c>
      <c r="H29" s="54">
        <v>1250</v>
      </c>
      <c r="I29" s="54">
        <v>12873</v>
      </c>
      <c r="J29" s="54"/>
      <c r="K29" s="54"/>
      <c r="L29" s="54"/>
      <c r="M29" s="54"/>
      <c r="N29" s="54"/>
      <c r="O29" s="54">
        <v>5548</v>
      </c>
      <c r="P29" s="54">
        <v>10836</v>
      </c>
    </row>
    <row r="30" spans="1:16" s="53" customFormat="1" ht="12">
      <c r="A30" s="36">
        <v>24</v>
      </c>
      <c r="B30" s="35" t="s">
        <v>78</v>
      </c>
      <c r="C30" s="52">
        <f t="shared" si="0"/>
        <v>93016</v>
      </c>
      <c r="D30" s="52"/>
      <c r="E30" s="52">
        <v>8670</v>
      </c>
      <c r="F30" s="52">
        <v>2601</v>
      </c>
      <c r="G30" s="52">
        <v>1843</v>
      </c>
      <c r="H30" s="52">
        <v>3200</v>
      </c>
      <c r="I30" s="52">
        <v>40700</v>
      </c>
      <c r="J30" s="52">
        <v>1464</v>
      </c>
      <c r="K30" s="52">
        <v>878</v>
      </c>
      <c r="L30" s="52">
        <v>586</v>
      </c>
      <c r="M30" s="52"/>
      <c r="N30" s="52"/>
      <c r="O30" s="52">
        <v>14907</v>
      </c>
      <c r="P30" s="52">
        <v>19631</v>
      </c>
    </row>
    <row r="31" spans="1:16" s="53" customFormat="1" ht="12">
      <c r="A31" s="36">
        <v>25</v>
      </c>
      <c r="B31" s="35" t="s">
        <v>79</v>
      </c>
      <c r="C31" s="52">
        <f t="shared" si="0"/>
        <v>42471</v>
      </c>
      <c r="D31" s="52"/>
      <c r="E31" s="52">
        <v>4030</v>
      </c>
      <c r="F31" s="52">
        <v>1088</v>
      </c>
      <c r="G31" s="52">
        <v>737</v>
      </c>
      <c r="H31" s="52">
        <v>1508</v>
      </c>
      <c r="I31" s="52">
        <v>20528</v>
      </c>
      <c r="J31" s="52">
        <f t="shared" si="1"/>
        <v>0</v>
      </c>
      <c r="K31" s="52"/>
      <c r="L31" s="52"/>
      <c r="M31" s="52"/>
      <c r="N31" s="52"/>
      <c r="O31" s="52">
        <v>7361</v>
      </c>
      <c r="P31" s="52">
        <v>7219</v>
      </c>
    </row>
    <row r="32" spans="1:16" s="53" customFormat="1" ht="12">
      <c r="A32" s="36">
        <v>26</v>
      </c>
      <c r="B32" s="35" t="s">
        <v>80</v>
      </c>
      <c r="C32" s="52">
        <f t="shared" si="0"/>
        <v>42344</v>
      </c>
      <c r="D32" s="52"/>
      <c r="E32" s="52">
        <v>4012</v>
      </c>
      <c r="F32" s="52">
        <v>988</v>
      </c>
      <c r="G32" s="52">
        <v>1074</v>
      </c>
      <c r="H32" s="52">
        <v>1517</v>
      </c>
      <c r="I32" s="52">
        <v>17220</v>
      </c>
      <c r="J32" s="52">
        <f t="shared" si="1"/>
        <v>1464</v>
      </c>
      <c r="K32" s="52">
        <v>976</v>
      </c>
      <c r="L32" s="52">
        <v>488</v>
      </c>
      <c r="M32" s="52"/>
      <c r="N32" s="52"/>
      <c r="O32" s="52">
        <f>5832</f>
        <v>5832</v>
      </c>
      <c r="P32" s="52">
        <v>10237</v>
      </c>
    </row>
    <row r="33" spans="1:16" s="53" customFormat="1" ht="12">
      <c r="A33" s="36">
        <v>27</v>
      </c>
      <c r="B33" s="35" t="s">
        <v>81</v>
      </c>
      <c r="C33" s="52">
        <f t="shared" si="0"/>
        <v>46943</v>
      </c>
      <c r="D33" s="52"/>
      <c r="E33" s="52">
        <v>4651</v>
      </c>
      <c r="F33" s="52">
        <v>1412</v>
      </c>
      <c r="G33" s="52">
        <v>755</v>
      </c>
      <c r="H33" s="52">
        <v>1806</v>
      </c>
      <c r="I33" s="52">
        <v>16483</v>
      </c>
      <c r="J33" s="52">
        <f t="shared" si="1"/>
        <v>0</v>
      </c>
      <c r="K33" s="52"/>
      <c r="L33" s="52"/>
      <c r="M33" s="52"/>
      <c r="N33" s="52"/>
      <c r="O33" s="52">
        <v>6616</v>
      </c>
      <c r="P33" s="52">
        <v>15220</v>
      </c>
    </row>
    <row r="34" spans="1:16" s="53" customFormat="1" ht="12">
      <c r="A34" s="36">
        <v>28</v>
      </c>
      <c r="B34" s="35" t="s">
        <v>82</v>
      </c>
      <c r="C34" s="52">
        <f t="shared" si="0"/>
        <v>48405</v>
      </c>
      <c r="D34" s="52"/>
      <c r="E34" s="52">
        <v>5010</v>
      </c>
      <c r="F34" s="52">
        <v>1380</v>
      </c>
      <c r="G34" s="52">
        <v>546</v>
      </c>
      <c r="H34" s="52">
        <v>1753</v>
      </c>
      <c r="I34" s="52">
        <v>21425</v>
      </c>
      <c r="J34" s="52">
        <f t="shared" si="1"/>
        <v>0</v>
      </c>
      <c r="K34" s="52"/>
      <c r="L34" s="52"/>
      <c r="M34" s="52"/>
      <c r="N34" s="52"/>
      <c r="O34" s="52">
        <v>7750</v>
      </c>
      <c r="P34" s="52">
        <v>10541</v>
      </c>
    </row>
    <row r="35" spans="1:16" s="53" customFormat="1" ht="12">
      <c r="A35" s="36">
        <v>29</v>
      </c>
      <c r="B35" s="35" t="s">
        <v>83</v>
      </c>
      <c r="C35" s="52">
        <f t="shared" si="0"/>
        <v>53858</v>
      </c>
      <c r="D35" s="52"/>
      <c r="E35" s="52">
        <v>4086</v>
      </c>
      <c r="F35" s="52">
        <v>1273</v>
      </c>
      <c r="G35" s="52">
        <v>1421</v>
      </c>
      <c r="H35" s="52">
        <v>1500</v>
      </c>
      <c r="I35" s="52">
        <v>23885</v>
      </c>
      <c r="J35" s="52">
        <f t="shared" si="1"/>
        <v>0</v>
      </c>
      <c r="K35" s="52"/>
      <c r="L35" s="52"/>
      <c r="M35" s="52"/>
      <c r="N35" s="52"/>
      <c r="O35" s="52">
        <v>6550</v>
      </c>
      <c r="P35" s="52">
        <v>15143</v>
      </c>
    </row>
    <row r="36" spans="1:16" s="53" customFormat="1" ht="12">
      <c r="A36" s="36">
        <v>30</v>
      </c>
      <c r="B36" s="35" t="s">
        <v>84</v>
      </c>
      <c r="C36" s="52">
        <f t="shared" si="0"/>
        <v>51541</v>
      </c>
      <c r="D36" s="52"/>
      <c r="E36" s="52">
        <v>4859</v>
      </c>
      <c r="F36" s="52">
        <v>1332</v>
      </c>
      <c r="G36" s="52">
        <v>493</v>
      </c>
      <c r="H36" s="52">
        <v>1738</v>
      </c>
      <c r="I36" s="52">
        <v>19780</v>
      </c>
      <c r="J36" s="52">
        <v>1464</v>
      </c>
      <c r="K36" s="52">
        <v>878</v>
      </c>
      <c r="L36" s="52">
        <v>586</v>
      </c>
      <c r="M36" s="52"/>
      <c r="N36" s="52"/>
      <c r="O36" s="52">
        <v>8880</v>
      </c>
      <c r="P36" s="52">
        <v>12995</v>
      </c>
    </row>
    <row r="37" spans="1:16" s="53" customFormat="1" ht="12">
      <c r="A37" s="36">
        <v>31</v>
      </c>
      <c r="B37" s="35" t="s">
        <v>85</v>
      </c>
      <c r="C37" s="52">
        <f t="shared" si="0"/>
        <v>54226</v>
      </c>
      <c r="D37" s="52"/>
      <c r="E37" s="52">
        <v>5250</v>
      </c>
      <c r="F37" s="52">
        <v>3675</v>
      </c>
      <c r="G37" s="52">
        <v>536</v>
      </c>
      <c r="H37" s="52">
        <v>2340</v>
      </c>
      <c r="I37" s="52">
        <v>23596</v>
      </c>
      <c r="J37" s="52">
        <f t="shared" si="1"/>
        <v>0</v>
      </c>
      <c r="K37" s="52"/>
      <c r="L37" s="52"/>
      <c r="M37" s="52"/>
      <c r="N37" s="52"/>
      <c r="O37" s="52">
        <v>5557</v>
      </c>
      <c r="P37" s="52">
        <v>13272</v>
      </c>
    </row>
    <row r="38" spans="1:16" s="53" customFormat="1" ht="12">
      <c r="A38" s="36">
        <v>32</v>
      </c>
      <c r="B38" s="35" t="s">
        <v>86</v>
      </c>
      <c r="C38" s="52">
        <f t="shared" si="0"/>
        <v>50118</v>
      </c>
      <c r="D38" s="52"/>
      <c r="E38" s="52">
        <v>4400</v>
      </c>
      <c r="F38" s="52">
        <v>1255</v>
      </c>
      <c r="G38" s="52">
        <v>707</v>
      </c>
      <c r="H38" s="52">
        <v>1500</v>
      </c>
      <c r="I38" s="52">
        <v>23203</v>
      </c>
      <c r="J38" s="52">
        <f t="shared" si="1"/>
        <v>0</v>
      </c>
      <c r="K38" s="52"/>
      <c r="L38" s="52"/>
      <c r="M38" s="52"/>
      <c r="N38" s="52"/>
      <c r="O38" s="52">
        <v>4477</v>
      </c>
      <c r="P38" s="52">
        <v>14576</v>
      </c>
    </row>
    <row r="39" spans="1:16" s="53" customFormat="1" ht="12">
      <c r="A39" s="36">
        <v>33</v>
      </c>
      <c r="B39" s="35" t="s">
        <v>87</v>
      </c>
      <c r="C39" s="52">
        <f t="shared" si="0"/>
        <v>0</v>
      </c>
      <c r="D39" s="52"/>
      <c r="E39" s="52"/>
      <c r="F39" s="52"/>
      <c r="G39" s="52"/>
      <c r="H39" s="52"/>
      <c r="I39" s="52"/>
      <c r="J39" s="52">
        <f t="shared" si="1"/>
        <v>0</v>
      </c>
      <c r="K39" s="52"/>
      <c r="L39" s="52"/>
      <c r="M39" s="52"/>
      <c r="N39" s="52"/>
      <c r="O39" s="52"/>
      <c r="P39" s="52"/>
    </row>
    <row r="40" spans="1:16" s="53" customFormat="1" ht="12">
      <c r="A40" s="36">
        <v>34</v>
      </c>
      <c r="B40" s="35" t="s">
        <v>88</v>
      </c>
      <c r="C40" s="52">
        <f t="shared" si="0"/>
        <v>0</v>
      </c>
      <c r="D40" s="52"/>
      <c r="E40" s="52"/>
      <c r="F40" s="52"/>
      <c r="G40" s="52"/>
      <c r="H40" s="52"/>
      <c r="I40" s="52"/>
      <c r="J40" s="52">
        <f t="shared" si="1"/>
        <v>0</v>
      </c>
      <c r="K40" s="52"/>
      <c r="L40" s="52"/>
      <c r="M40" s="52"/>
      <c r="N40" s="52"/>
      <c r="O40" s="52"/>
      <c r="P40" s="52"/>
    </row>
    <row r="41" spans="1:16" s="53" customFormat="1" ht="12">
      <c r="A41" s="36">
        <v>35</v>
      </c>
      <c r="B41" s="35" t="s">
        <v>89</v>
      </c>
      <c r="C41" s="52">
        <f t="shared" si="0"/>
        <v>0</v>
      </c>
      <c r="D41" s="52"/>
      <c r="E41" s="52"/>
      <c r="F41" s="52"/>
      <c r="G41" s="52"/>
      <c r="H41" s="52"/>
      <c r="I41" s="52"/>
      <c r="J41" s="52">
        <f t="shared" si="1"/>
        <v>0</v>
      </c>
      <c r="K41" s="52"/>
      <c r="L41" s="52"/>
      <c r="M41" s="52"/>
      <c r="N41" s="52"/>
      <c r="O41" s="52"/>
      <c r="P41" s="52"/>
    </row>
    <row r="42" spans="1:16" s="53" customFormat="1" ht="12">
      <c r="A42" s="36">
        <v>36</v>
      </c>
      <c r="B42" s="35" t="s">
        <v>90</v>
      </c>
      <c r="C42" s="52">
        <f t="shared" si="0"/>
        <v>0</v>
      </c>
      <c r="D42" s="52"/>
      <c r="E42" s="52"/>
      <c r="F42" s="52"/>
      <c r="G42" s="52"/>
      <c r="H42" s="52"/>
      <c r="I42" s="52"/>
      <c r="J42" s="52">
        <f t="shared" si="1"/>
        <v>0</v>
      </c>
      <c r="K42" s="52"/>
      <c r="L42" s="52"/>
      <c r="M42" s="52"/>
      <c r="N42" s="52"/>
      <c r="O42" s="52"/>
      <c r="P42" s="52"/>
    </row>
    <row r="43" spans="1:16" s="53" customFormat="1" ht="12">
      <c r="A43" s="36">
        <v>37</v>
      </c>
      <c r="B43" s="35" t="s">
        <v>91</v>
      </c>
      <c r="C43" s="52">
        <f t="shared" si="0"/>
        <v>0</v>
      </c>
      <c r="D43" s="52"/>
      <c r="E43" s="52"/>
      <c r="F43" s="52"/>
      <c r="G43" s="52"/>
      <c r="H43" s="52"/>
      <c r="I43" s="52"/>
      <c r="J43" s="52">
        <f t="shared" si="1"/>
        <v>0</v>
      </c>
      <c r="K43" s="52"/>
      <c r="L43" s="52"/>
      <c r="M43" s="52"/>
      <c r="N43" s="52">
        <f>1160-1160</f>
        <v>0</v>
      </c>
      <c r="O43" s="52"/>
      <c r="P43" s="52"/>
    </row>
    <row r="44" spans="1:16" s="53" customFormat="1" ht="12">
      <c r="A44" s="36">
        <v>38</v>
      </c>
      <c r="B44" s="35" t="s">
        <v>92</v>
      </c>
      <c r="C44" s="52">
        <f t="shared" si="0"/>
        <v>0</v>
      </c>
      <c r="D44" s="52"/>
      <c r="E44" s="52"/>
      <c r="F44" s="52"/>
      <c r="G44" s="52"/>
      <c r="H44" s="52"/>
      <c r="I44" s="52"/>
      <c r="J44" s="52">
        <f t="shared" si="1"/>
        <v>0</v>
      </c>
      <c r="K44" s="52"/>
      <c r="L44" s="52"/>
      <c r="M44" s="52"/>
      <c r="N44" s="52">
        <f>200-200</f>
        <v>0</v>
      </c>
      <c r="O44" s="52"/>
      <c r="P44" s="52"/>
    </row>
    <row r="45" spans="1:16" s="53" customFormat="1" ht="12">
      <c r="A45" s="36">
        <v>39</v>
      </c>
      <c r="B45" s="35" t="s">
        <v>93</v>
      </c>
      <c r="C45" s="52">
        <f t="shared" si="0"/>
        <v>0</v>
      </c>
      <c r="D45" s="52"/>
      <c r="E45" s="52"/>
      <c r="F45" s="52"/>
      <c r="G45" s="52"/>
      <c r="H45" s="52"/>
      <c r="I45" s="52"/>
      <c r="J45" s="52">
        <f t="shared" si="1"/>
        <v>0</v>
      </c>
      <c r="K45" s="52"/>
      <c r="L45" s="52"/>
      <c r="M45" s="52"/>
      <c r="N45" s="52"/>
      <c r="O45" s="52"/>
      <c r="P45" s="52"/>
    </row>
    <row r="46" spans="1:16" s="53" customFormat="1" ht="12">
      <c r="A46" s="36">
        <v>40</v>
      </c>
      <c r="B46" s="35" t="s">
        <v>94</v>
      </c>
      <c r="C46" s="52">
        <f t="shared" si="0"/>
        <v>0</v>
      </c>
      <c r="D46" s="52"/>
      <c r="E46" s="52"/>
      <c r="F46" s="52"/>
      <c r="G46" s="52"/>
      <c r="H46" s="52"/>
      <c r="I46" s="52"/>
      <c r="J46" s="52">
        <f t="shared" si="1"/>
        <v>0</v>
      </c>
      <c r="K46" s="52"/>
      <c r="L46" s="52"/>
      <c r="M46" s="52"/>
      <c r="N46" s="52"/>
      <c r="O46" s="52"/>
      <c r="P46" s="52"/>
    </row>
    <row r="47" spans="1:16" s="53" customFormat="1" ht="12">
      <c r="A47" s="36">
        <v>41</v>
      </c>
      <c r="B47" s="35" t="s">
        <v>8</v>
      </c>
      <c r="C47" s="52">
        <f t="shared" si="0"/>
        <v>71137</v>
      </c>
      <c r="D47" s="52">
        <v>11711</v>
      </c>
      <c r="E47" s="52">
        <v>4857</v>
      </c>
      <c r="F47" s="52">
        <v>1370</v>
      </c>
      <c r="G47" s="52">
        <v>328</v>
      </c>
      <c r="H47" s="52">
        <v>2051</v>
      </c>
      <c r="I47" s="52">
        <v>30213</v>
      </c>
      <c r="J47" s="52">
        <f t="shared" si="1"/>
        <v>1464</v>
      </c>
      <c r="K47" s="52">
        <v>1200</v>
      </c>
      <c r="L47" s="52">
        <v>264</v>
      </c>
      <c r="M47" s="52"/>
      <c r="N47" s="52"/>
      <c r="O47" s="52">
        <v>7858</v>
      </c>
      <c r="P47" s="52">
        <v>11285</v>
      </c>
    </row>
    <row r="48" spans="1:16" s="53" customFormat="1" ht="12">
      <c r="A48" s="36">
        <v>42</v>
      </c>
      <c r="B48" s="35" t="s">
        <v>95</v>
      </c>
      <c r="C48" s="52">
        <f t="shared" si="0"/>
        <v>38366</v>
      </c>
      <c r="D48" s="52"/>
      <c r="E48" s="52">
        <v>3561</v>
      </c>
      <c r="F48" s="52">
        <v>1000</v>
      </c>
      <c r="G48" s="52">
        <v>3187</v>
      </c>
      <c r="H48" s="52">
        <v>1414</v>
      </c>
      <c r="I48" s="52">
        <v>19463</v>
      </c>
      <c r="J48" s="52">
        <f t="shared" si="1"/>
        <v>0</v>
      </c>
      <c r="K48" s="52"/>
      <c r="L48" s="52"/>
      <c r="M48" s="52"/>
      <c r="N48" s="52"/>
      <c r="O48" s="52">
        <v>2801</v>
      </c>
      <c r="P48" s="52">
        <v>6940</v>
      </c>
    </row>
    <row r="49" spans="1:16" s="53" customFormat="1" ht="12">
      <c r="A49" s="36">
        <v>43</v>
      </c>
      <c r="B49" s="35" t="s">
        <v>96</v>
      </c>
      <c r="C49" s="52">
        <f t="shared" si="0"/>
        <v>45989</v>
      </c>
      <c r="D49" s="52"/>
      <c r="E49" s="52">
        <v>4276</v>
      </c>
      <c r="F49" s="52">
        <v>958</v>
      </c>
      <c r="G49" s="52">
        <v>432</v>
      </c>
      <c r="H49" s="52">
        <v>1663</v>
      </c>
      <c r="I49" s="52">
        <v>22264</v>
      </c>
      <c r="J49" s="52">
        <f t="shared" si="1"/>
        <v>0</v>
      </c>
      <c r="K49" s="52"/>
      <c r="L49" s="52"/>
      <c r="M49" s="52"/>
      <c r="N49" s="52"/>
      <c r="O49" s="52">
        <v>4884</v>
      </c>
      <c r="P49" s="52">
        <v>11512</v>
      </c>
    </row>
    <row r="50" spans="1:16" s="53" customFormat="1" ht="12">
      <c r="A50" s="36">
        <v>44</v>
      </c>
      <c r="B50" s="35" t="s">
        <v>97</v>
      </c>
      <c r="C50" s="52">
        <f t="shared" si="0"/>
        <v>35950</v>
      </c>
      <c r="D50" s="52"/>
      <c r="E50" s="52">
        <v>3291</v>
      </c>
      <c r="F50" s="52">
        <v>900</v>
      </c>
      <c r="G50" s="52">
        <v>378</v>
      </c>
      <c r="H50" s="52">
        <v>1000</v>
      </c>
      <c r="I50" s="52">
        <v>17938</v>
      </c>
      <c r="J50" s="52">
        <f t="shared" si="1"/>
        <v>0</v>
      </c>
      <c r="K50" s="52"/>
      <c r="L50" s="52"/>
      <c r="M50" s="52"/>
      <c r="N50" s="52"/>
      <c r="O50" s="52">
        <v>6809</v>
      </c>
      <c r="P50" s="52">
        <v>5634</v>
      </c>
    </row>
    <row r="51" spans="1:16" s="53" customFormat="1" ht="12">
      <c r="A51" s="36">
        <v>45</v>
      </c>
      <c r="B51" s="35" t="s">
        <v>98</v>
      </c>
      <c r="C51" s="52">
        <f t="shared" si="0"/>
        <v>53429</v>
      </c>
      <c r="D51" s="52"/>
      <c r="E51" s="52">
        <v>4894</v>
      </c>
      <c r="F51" s="52">
        <v>1224</v>
      </c>
      <c r="G51" s="52">
        <v>1297</v>
      </c>
      <c r="H51" s="52">
        <v>1858</v>
      </c>
      <c r="I51" s="52">
        <v>25448</v>
      </c>
      <c r="J51" s="52">
        <f t="shared" si="1"/>
        <v>0</v>
      </c>
      <c r="K51" s="52"/>
      <c r="L51" s="52"/>
      <c r="M51" s="52"/>
      <c r="N51" s="52"/>
      <c r="O51" s="52">
        <v>8649</v>
      </c>
      <c r="P51" s="52">
        <v>10059</v>
      </c>
    </row>
    <row r="52" spans="1:16" s="53" customFormat="1" ht="24">
      <c r="A52" s="36">
        <v>46</v>
      </c>
      <c r="B52" s="37" t="s">
        <v>99</v>
      </c>
      <c r="C52" s="52">
        <f t="shared" si="0"/>
        <v>200</v>
      </c>
      <c r="D52" s="52"/>
      <c r="E52" s="52"/>
      <c r="F52" s="52"/>
      <c r="G52" s="52"/>
      <c r="H52" s="52"/>
      <c r="I52" s="52"/>
      <c r="J52" s="52">
        <f t="shared" si="1"/>
        <v>0</v>
      </c>
      <c r="K52" s="52"/>
      <c r="L52" s="52"/>
      <c r="M52" s="52"/>
      <c r="N52" s="52">
        <v>200</v>
      </c>
      <c r="O52" s="52"/>
      <c r="P52" s="52"/>
    </row>
    <row r="53" spans="1:16" s="53" customFormat="1" ht="12">
      <c r="A53" s="36">
        <v>47</v>
      </c>
      <c r="B53" s="35" t="s">
        <v>100</v>
      </c>
      <c r="C53" s="52">
        <f t="shared" si="0"/>
        <v>131133</v>
      </c>
      <c r="D53" s="52">
        <v>16701</v>
      </c>
      <c r="E53" s="52">
        <v>10200</v>
      </c>
      <c r="F53" s="52">
        <v>2550</v>
      </c>
      <c r="G53" s="52">
        <v>2188</v>
      </c>
      <c r="H53" s="52">
        <v>4078</v>
      </c>
      <c r="I53" s="52">
        <v>60726</v>
      </c>
      <c r="J53" s="52">
        <v>1464</v>
      </c>
      <c r="K53" s="52">
        <v>1025</v>
      </c>
      <c r="L53" s="52">
        <v>439</v>
      </c>
      <c r="M53" s="52"/>
      <c r="N53" s="52"/>
      <c r="O53" s="52">
        <v>10176</v>
      </c>
      <c r="P53" s="52">
        <v>23050</v>
      </c>
    </row>
    <row r="54" spans="1:16" s="53" customFormat="1" ht="24">
      <c r="A54" s="36">
        <v>48</v>
      </c>
      <c r="B54" s="37" t="s">
        <v>101</v>
      </c>
      <c r="C54" s="52">
        <f t="shared" si="0"/>
        <v>5300</v>
      </c>
      <c r="D54" s="52"/>
      <c r="E54" s="52"/>
      <c r="F54" s="52"/>
      <c r="G54" s="52"/>
      <c r="H54" s="52"/>
      <c r="I54" s="52"/>
      <c r="J54" s="52">
        <f t="shared" si="1"/>
        <v>0</v>
      </c>
      <c r="K54" s="52"/>
      <c r="L54" s="52"/>
      <c r="M54" s="52"/>
      <c r="N54" s="52">
        <v>5300</v>
      </c>
      <c r="O54" s="52"/>
      <c r="P54" s="52"/>
    </row>
    <row r="55" spans="1:16" s="53" customFormat="1" ht="12">
      <c r="A55" s="36">
        <v>49</v>
      </c>
      <c r="B55" s="35" t="s">
        <v>102</v>
      </c>
      <c r="C55" s="52">
        <f t="shared" si="0"/>
        <v>118195</v>
      </c>
      <c r="D55" s="52"/>
      <c r="E55" s="52">
        <v>9065</v>
      </c>
      <c r="F55" s="52">
        <v>2306</v>
      </c>
      <c r="G55" s="52">
        <v>1289</v>
      </c>
      <c r="H55" s="52">
        <v>3185</v>
      </c>
      <c r="I55" s="52">
        <v>62945</v>
      </c>
      <c r="J55" s="52">
        <f t="shared" si="1"/>
        <v>0</v>
      </c>
      <c r="K55" s="52"/>
      <c r="L55" s="52"/>
      <c r="M55" s="52"/>
      <c r="N55" s="52"/>
      <c r="O55" s="52">
        <v>14282</v>
      </c>
      <c r="P55" s="52">
        <v>25123</v>
      </c>
    </row>
    <row r="56" spans="1:16" s="53" customFormat="1" ht="12">
      <c r="A56" s="36">
        <v>50</v>
      </c>
      <c r="B56" s="35" t="s">
        <v>103</v>
      </c>
      <c r="C56" s="52">
        <f t="shared" si="0"/>
        <v>63642</v>
      </c>
      <c r="D56" s="52"/>
      <c r="E56" s="52">
        <v>5733</v>
      </c>
      <c r="F56" s="52">
        <v>1580</v>
      </c>
      <c r="G56" s="52">
        <v>1506</v>
      </c>
      <c r="H56" s="52">
        <v>2135</v>
      </c>
      <c r="I56" s="52">
        <v>35398</v>
      </c>
      <c r="J56" s="52">
        <f t="shared" si="1"/>
        <v>0</v>
      </c>
      <c r="K56" s="52"/>
      <c r="L56" s="52"/>
      <c r="M56" s="52"/>
      <c r="N56" s="52"/>
      <c r="O56" s="52">
        <v>5400</v>
      </c>
      <c r="P56" s="52">
        <v>11890</v>
      </c>
    </row>
    <row r="57" spans="1:16" s="53" customFormat="1" ht="12">
      <c r="A57" s="36">
        <v>51</v>
      </c>
      <c r="B57" s="35" t="s">
        <v>104</v>
      </c>
      <c r="C57" s="52">
        <f t="shared" si="0"/>
        <v>31217</v>
      </c>
      <c r="D57" s="52"/>
      <c r="E57" s="52">
        <v>2942</v>
      </c>
      <c r="F57" s="52">
        <v>883</v>
      </c>
      <c r="G57" s="52">
        <v>1881</v>
      </c>
      <c r="H57" s="52">
        <v>1109</v>
      </c>
      <c r="I57" s="52">
        <v>15682</v>
      </c>
      <c r="J57" s="52">
        <f t="shared" si="1"/>
        <v>0</v>
      </c>
      <c r="K57" s="52"/>
      <c r="L57" s="52"/>
      <c r="M57" s="52"/>
      <c r="N57" s="52"/>
      <c r="O57" s="52">
        <v>4082</v>
      </c>
      <c r="P57" s="52">
        <v>4638</v>
      </c>
    </row>
    <row r="58" spans="1:16" s="53" customFormat="1" ht="12">
      <c r="A58" s="36">
        <v>52</v>
      </c>
      <c r="B58" s="35" t="s">
        <v>105</v>
      </c>
      <c r="C58" s="52">
        <f t="shared" si="0"/>
        <v>0</v>
      </c>
      <c r="D58" s="52"/>
      <c r="E58" s="52"/>
      <c r="F58" s="52"/>
      <c r="G58" s="52"/>
      <c r="H58" s="52"/>
      <c r="I58" s="52"/>
      <c r="J58" s="52">
        <f t="shared" si="1"/>
        <v>0</v>
      </c>
      <c r="K58" s="52"/>
      <c r="L58" s="52"/>
      <c r="M58" s="52"/>
      <c r="N58" s="52"/>
      <c r="O58" s="52"/>
      <c r="P58" s="52"/>
    </row>
    <row r="59" spans="1:16" s="53" customFormat="1" ht="12">
      <c r="A59" s="36">
        <v>53</v>
      </c>
      <c r="B59" s="35" t="s">
        <v>106</v>
      </c>
      <c r="C59" s="52">
        <f t="shared" si="0"/>
        <v>0</v>
      </c>
      <c r="D59" s="52"/>
      <c r="E59" s="52"/>
      <c r="F59" s="52"/>
      <c r="G59" s="52"/>
      <c r="H59" s="52"/>
      <c r="I59" s="52"/>
      <c r="J59" s="52">
        <f t="shared" si="1"/>
        <v>0</v>
      </c>
      <c r="K59" s="52"/>
      <c r="L59" s="52"/>
      <c r="M59" s="52"/>
      <c r="N59" s="52"/>
      <c r="O59" s="52"/>
      <c r="P59" s="52"/>
    </row>
    <row r="60" spans="1:16" s="53" customFormat="1" ht="12">
      <c r="A60" s="36">
        <v>54</v>
      </c>
      <c r="B60" s="35" t="s">
        <v>107</v>
      </c>
      <c r="C60" s="52">
        <f t="shared" si="0"/>
        <v>58732</v>
      </c>
      <c r="D60" s="52"/>
      <c r="E60" s="52">
        <v>12000</v>
      </c>
      <c r="F60" s="52">
        <v>3600</v>
      </c>
      <c r="G60" s="52"/>
      <c r="H60" s="52">
        <v>5754</v>
      </c>
      <c r="I60" s="52"/>
      <c r="J60" s="52">
        <f t="shared" si="1"/>
        <v>0</v>
      </c>
      <c r="K60" s="52"/>
      <c r="L60" s="52"/>
      <c r="M60" s="52"/>
      <c r="N60" s="52"/>
      <c r="O60" s="52">
        <v>8100</v>
      </c>
      <c r="P60" s="52">
        <v>29278</v>
      </c>
    </row>
    <row r="61" spans="1:16" s="53" customFormat="1" ht="24">
      <c r="A61" s="36">
        <v>55</v>
      </c>
      <c r="B61" s="37" t="s">
        <v>108</v>
      </c>
      <c r="C61" s="52">
        <f t="shared" si="0"/>
        <v>102968</v>
      </c>
      <c r="D61" s="52">
        <v>35974</v>
      </c>
      <c r="E61" s="52">
        <v>12820</v>
      </c>
      <c r="F61" s="52">
        <v>3846</v>
      </c>
      <c r="G61" s="52"/>
      <c r="H61" s="52">
        <v>7044</v>
      </c>
      <c r="I61" s="52"/>
      <c r="J61" s="52">
        <f t="shared" si="1"/>
        <v>1464</v>
      </c>
      <c r="K61" s="52">
        <v>879</v>
      </c>
      <c r="L61" s="52">
        <v>585</v>
      </c>
      <c r="M61" s="52"/>
      <c r="N61" s="52"/>
      <c r="O61" s="52">
        <v>21700</v>
      </c>
      <c r="P61" s="52">
        <v>20120</v>
      </c>
    </row>
    <row r="62" spans="1:16" s="53" customFormat="1" ht="12">
      <c r="A62" s="36">
        <v>56</v>
      </c>
      <c r="B62" s="37" t="s">
        <v>109</v>
      </c>
      <c r="C62" s="52">
        <f t="shared" si="0"/>
        <v>97003</v>
      </c>
      <c r="D62" s="52"/>
      <c r="E62" s="52">
        <v>13160</v>
      </c>
      <c r="F62" s="52">
        <v>3608</v>
      </c>
      <c r="G62" s="52">
        <v>270</v>
      </c>
      <c r="H62" s="52">
        <v>6222</v>
      </c>
      <c r="I62" s="52">
        <v>31890</v>
      </c>
      <c r="J62" s="52">
        <v>1464</v>
      </c>
      <c r="K62" s="52">
        <v>878</v>
      </c>
      <c r="L62" s="52">
        <v>586</v>
      </c>
      <c r="M62" s="52"/>
      <c r="N62" s="52"/>
      <c r="O62" s="52">
        <v>10575</v>
      </c>
      <c r="P62" s="52">
        <v>29814</v>
      </c>
    </row>
    <row r="63" spans="1:16" s="53" customFormat="1" ht="24">
      <c r="A63" s="36">
        <v>57</v>
      </c>
      <c r="B63" s="37" t="s">
        <v>110</v>
      </c>
      <c r="C63" s="52">
        <f t="shared" si="0"/>
        <v>58217</v>
      </c>
      <c r="D63" s="52"/>
      <c r="E63" s="52">
        <v>4800</v>
      </c>
      <c r="F63" s="52">
        <v>1440</v>
      </c>
      <c r="G63" s="52">
        <v>36</v>
      </c>
      <c r="H63" s="52">
        <v>2704</v>
      </c>
      <c r="I63" s="52">
        <v>30484</v>
      </c>
      <c r="J63" s="52">
        <v>0</v>
      </c>
      <c r="K63" s="52">
        <v>0</v>
      </c>
      <c r="L63" s="52">
        <v>0</v>
      </c>
      <c r="M63" s="52"/>
      <c r="N63" s="52"/>
      <c r="O63" s="52">
        <v>8500</v>
      </c>
      <c r="P63" s="52">
        <v>10253</v>
      </c>
    </row>
    <row r="64" spans="1:16" s="55" customFormat="1" ht="42.75" customHeight="1">
      <c r="A64" s="36">
        <v>58</v>
      </c>
      <c r="B64" s="56" t="s">
        <v>111</v>
      </c>
      <c r="C64" s="52">
        <f t="shared" si="0"/>
        <v>81531</v>
      </c>
      <c r="D64" s="54"/>
      <c r="E64" s="54">
        <v>7073</v>
      </c>
      <c r="F64" s="54">
        <v>2127</v>
      </c>
      <c r="G64" s="54">
        <v>495</v>
      </c>
      <c r="H64" s="54">
        <v>3101</v>
      </c>
      <c r="I64" s="54">
        <v>36725</v>
      </c>
      <c r="J64" s="54">
        <v>1464</v>
      </c>
      <c r="K64" s="54">
        <v>879</v>
      </c>
      <c r="L64" s="54">
        <v>585</v>
      </c>
      <c r="M64" s="54"/>
      <c r="N64" s="54"/>
      <c r="O64" s="54">
        <v>9626</v>
      </c>
      <c r="P64" s="54">
        <v>20920</v>
      </c>
    </row>
    <row r="65" spans="1:16" s="53" customFormat="1" ht="25.5" customHeight="1">
      <c r="A65" s="36">
        <v>59</v>
      </c>
      <c r="B65" s="37" t="s">
        <v>112</v>
      </c>
      <c r="C65" s="52">
        <f t="shared" si="0"/>
        <v>1400</v>
      </c>
      <c r="D65" s="52"/>
      <c r="E65" s="52"/>
      <c r="F65" s="52"/>
      <c r="G65" s="52"/>
      <c r="H65" s="52"/>
      <c r="I65" s="52"/>
      <c r="J65" s="52">
        <f t="shared" si="1"/>
        <v>0</v>
      </c>
      <c r="K65" s="52"/>
      <c r="L65" s="52"/>
      <c r="M65" s="52">
        <v>1400</v>
      </c>
      <c r="N65" s="52"/>
      <c r="O65" s="52"/>
      <c r="P65" s="52"/>
    </row>
    <row r="66" spans="1:16" s="53" customFormat="1" ht="12">
      <c r="A66" s="36">
        <v>60</v>
      </c>
      <c r="B66" s="35" t="s">
        <v>113</v>
      </c>
      <c r="C66" s="52">
        <f t="shared" si="0"/>
        <v>213540</v>
      </c>
      <c r="D66" s="52">
        <v>10453</v>
      </c>
      <c r="E66" s="52"/>
      <c r="F66" s="52"/>
      <c r="G66" s="52">
        <v>2851</v>
      </c>
      <c r="H66" s="52"/>
      <c r="I66" s="52">
        <v>172192</v>
      </c>
      <c r="J66" s="52">
        <f t="shared" si="1"/>
        <v>0</v>
      </c>
      <c r="K66" s="52"/>
      <c r="L66" s="52"/>
      <c r="M66" s="52"/>
      <c r="N66" s="52"/>
      <c r="O66" s="52">
        <v>2041</v>
      </c>
      <c r="P66" s="52">
        <v>26003</v>
      </c>
    </row>
    <row r="67" spans="1:16" s="53" customFormat="1" ht="12">
      <c r="A67" s="36">
        <v>61</v>
      </c>
      <c r="B67" s="35" t="s">
        <v>114</v>
      </c>
      <c r="C67" s="52">
        <f t="shared" si="0"/>
        <v>10266</v>
      </c>
      <c r="D67" s="52"/>
      <c r="E67" s="52"/>
      <c r="F67" s="52"/>
      <c r="G67" s="52"/>
      <c r="H67" s="52"/>
      <c r="I67" s="52"/>
      <c r="J67" s="52">
        <f t="shared" si="1"/>
        <v>0</v>
      </c>
      <c r="K67" s="52"/>
      <c r="L67" s="52"/>
      <c r="M67" s="52"/>
      <c r="N67" s="52">
        <v>10266</v>
      </c>
      <c r="O67" s="52"/>
      <c r="P67" s="52"/>
    </row>
    <row r="68" spans="1:16" s="53" customFormat="1" ht="12">
      <c r="A68" s="36">
        <v>62</v>
      </c>
      <c r="B68" s="35" t="s">
        <v>115</v>
      </c>
      <c r="C68" s="52">
        <f t="shared" si="0"/>
        <v>11200</v>
      </c>
      <c r="D68" s="52"/>
      <c r="E68" s="52"/>
      <c r="F68" s="52"/>
      <c r="G68" s="52"/>
      <c r="H68" s="52"/>
      <c r="I68" s="52"/>
      <c r="J68" s="52">
        <f t="shared" si="1"/>
        <v>0</v>
      </c>
      <c r="K68" s="52"/>
      <c r="L68" s="52"/>
      <c r="M68" s="52"/>
      <c r="N68" s="52">
        <v>11200</v>
      </c>
      <c r="O68" s="52"/>
      <c r="P68" s="52"/>
    </row>
    <row r="69" spans="1:16" s="53" customFormat="1" ht="24">
      <c r="A69" s="36">
        <v>63</v>
      </c>
      <c r="B69" s="37" t="s">
        <v>116</v>
      </c>
      <c r="C69" s="52">
        <f t="shared" si="0"/>
        <v>7664</v>
      </c>
      <c r="D69" s="52"/>
      <c r="E69" s="52">
        <v>2379</v>
      </c>
      <c r="F69" s="52">
        <v>713</v>
      </c>
      <c r="G69" s="52"/>
      <c r="H69" s="52">
        <v>1149</v>
      </c>
      <c r="I69" s="52"/>
      <c r="J69" s="52">
        <f t="shared" si="1"/>
        <v>0</v>
      </c>
      <c r="K69" s="52"/>
      <c r="L69" s="52"/>
      <c r="M69" s="52"/>
      <c r="N69" s="52"/>
      <c r="O69" s="52">
        <v>782</v>
      </c>
      <c r="P69" s="52">
        <v>2641</v>
      </c>
    </row>
    <row r="70" spans="1:16" s="53" customFormat="1" ht="12">
      <c r="A70" s="36">
        <v>64</v>
      </c>
      <c r="B70" s="35" t="s">
        <v>117</v>
      </c>
      <c r="C70" s="52">
        <f t="shared" si="0"/>
        <v>184357</v>
      </c>
      <c r="D70" s="52">
        <v>8810</v>
      </c>
      <c r="E70" s="52">
        <v>16601</v>
      </c>
      <c r="F70" s="52">
        <v>4150</v>
      </c>
      <c r="G70" s="52">
        <v>3127</v>
      </c>
      <c r="H70" s="52">
        <v>6209</v>
      </c>
      <c r="I70" s="52">
        <v>77822</v>
      </c>
      <c r="J70" s="52">
        <f t="shared" si="1"/>
        <v>0</v>
      </c>
      <c r="K70" s="52"/>
      <c r="L70" s="52"/>
      <c r="M70" s="52"/>
      <c r="N70" s="52"/>
      <c r="O70" s="52">
        <v>30930</v>
      </c>
      <c r="P70" s="52">
        <v>36708</v>
      </c>
    </row>
    <row r="71" spans="1:16" s="53" customFormat="1" ht="12">
      <c r="A71" s="36">
        <v>65</v>
      </c>
      <c r="B71" s="35" t="s">
        <v>118</v>
      </c>
      <c r="C71" s="52">
        <f t="shared" si="0"/>
        <v>144430</v>
      </c>
      <c r="D71" s="52">
        <v>14973</v>
      </c>
      <c r="E71" s="52">
        <v>12082</v>
      </c>
      <c r="F71" s="52">
        <v>2840</v>
      </c>
      <c r="G71" s="52">
        <v>2227</v>
      </c>
      <c r="H71" s="52">
        <v>4720</v>
      </c>
      <c r="I71" s="52">
        <v>52816</v>
      </c>
      <c r="J71" s="52">
        <f t="shared" si="1"/>
        <v>0</v>
      </c>
      <c r="K71" s="52"/>
      <c r="L71" s="52"/>
      <c r="M71" s="52"/>
      <c r="N71" s="52"/>
      <c r="O71" s="52">
        <v>16372</v>
      </c>
      <c r="P71" s="52">
        <v>38400</v>
      </c>
    </row>
    <row r="72" spans="1:16" s="55" customFormat="1" ht="32.25" customHeight="1">
      <c r="A72" s="36">
        <v>66</v>
      </c>
      <c r="B72" s="56" t="s">
        <v>119</v>
      </c>
      <c r="C72" s="52">
        <f t="shared" ref="C72:C136" si="2">D72+E72+F72+G72+H72+I72+J72+M72+N72+O72+P72</f>
        <v>47600</v>
      </c>
      <c r="D72" s="54"/>
      <c r="E72" s="54">
        <v>4507</v>
      </c>
      <c r="F72" s="54">
        <v>1154</v>
      </c>
      <c r="G72" s="54">
        <v>962</v>
      </c>
      <c r="H72" s="54">
        <v>1667</v>
      </c>
      <c r="I72" s="54">
        <v>21004</v>
      </c>
      <c r="J72" s="52">
        <f t="shared" si="1"/>
        <v>0</v>
      </c>
      <c r="K72" s="54"/>
      <c r="L72" s="54"/>
      <c r="M72" s="54"/>
      <c r="N72" s="54"/>
      <c r="O72" s="54">
        <v>5788</v>
      </c>
      <c r="P72" s="54">
        <v>12518</v>
      </c>
    </row>
    <row r="73" spans="1:16" s="53" customFormat="1" ht="12">
      <c r="A73" s="36">
        <v>67</v>
      </c>
      <c r="B73" s="35" t="s">
        <v>120</v>
      </c>
      <c r="C73" s="52">
        <f t="shared" si="2"/>
        <v>167856</v>
      </c>
      <c r="D73" s="52"/>
      <c r="E73" s="52">
        <v>16323</v>
      </c>
      <c r="F73" s="52">
        <v>4897</v>
      </c>
      <c r="G73" s="52">
        <v>3853</v>
      </c>
      <c r="H73" s="52">
        <v>7107</v>
      </c>
      <c r="I73" s="52">
        <v>76844</v>
      </c>
      <c r="J73" s="52">
        <f t="shared" si="1"/>
        <v>1464</v>
      </c>
      <c r="K73" s="52">
        <v>1164</v>
      </c>
      <c r="L73" s="52">
        <v>300</v>
      </c>
      <c r="M73" s="52"/>
      <c r="N73" s="52"/>
      <c r="O73" s="52">
        <v>20114</v>
      </c>
      <c r="P73" s="52">
        <v>37254</v>
      </c>
    </row>
    <row r="74" spans="1:16" s="53" customFormat="1" ht="12">
      <c r="A74" s="36">
        <v>68</v>
      </c>
      <c r="B74" s="35" t="s">
        <v>121</v>
      </c>
      <c r="C74" s="52">
        <f t="shared" si="2"/>
        <v>112861</v>
      </c>
      <c r="D74" s="52">
        <v>24093</v>
      </c>
      <c r="E74" s="52">
        <v>24112</v>
      </c>
      <c r="F74" s="52">
        <v>6028</v>
      </c>
      <c r="G74" s="52">
        <v>0</v>
      </c>
      <c r="H74" s="52">
        <v>13198</v>
      </c>
      <c r="I74" s="52">
        <v>0</v>
      </c>
      <c r="J74" s="52">
        <f t="shared" si="1"/>
        <v>1464</v>
      </c>
      <c r="K74" s="52">
        <v>1025</v>
      </c>
      <c r="L74" s="52">
        <v>439</v>
      </c>
      <c r="M74" s="52"/>
      <c r="N74" s="52"/>
      <c r="O74" s="52">
        <f>27978-16500</f>
        <v>11478</v>
      </c>
      <c r="P74" s="52">
        <v>32488</v>
      </c>
    </row>
    <row r="75" spans="1:16" s="55" customFormat="1" ht="33" customHeight="1">
      <c r="A75" s="36">
        <v>69</v>
      </c>
      <c r="B75" s="56" t="s">
        <v>122</v>
      </c>
      <c r="C75" s="52">
        <f t="shared" si="2"/>
        <v>129960</v>
      </c>
      <c r="D75" s="54"/>
      <c r="E75" s="54"/>
      <c r="F75" s="54"/>
      <c r="G75" s="54">
        <v>1800</v>
      </c>
      <c r="H75" s="54"/>
      <c r="I75" s="54">
        <v>117731</v>
      </c>
      <c r="J75" s="54"/>
      <c r="K75" s="54"/>
      <c r="L75" s="54"/>
      <c r="M75" s="54"/>
      <c r="N75" s="54"/>
      <c r="O75" s="54">
        <v>3416</v>
      </c>
      <c r="P75" s="54">
        <v>7013</v>
      </c>
    </row>
    <row r="76" spans="1:16" s="55" customFormat="1" ht="33" customHeight="1">
      <c r="A76" s="36"/>
      <c r="B76" s="37" t="s">
        <v>293</v>
      </c>
      <c r="C76" s="52">
        <f t="shared" si="2"/>
        <v>16500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>
        <v>16500</v>
      </c>
      <c r="P76" s="54"/>
    </row>
    <row r="77" spans="1:16" s="53" customFormat="1" ht="24">
      <c r="A77" s="36">
        <v>70</v>
      </c>
      <c r="B77" s="37" t="s">
        <v>123</v>
      </c>
      <c r="C77" s="52">
        <f t="shared" si="2"/>
        <v>14000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>
        <v>14000</v>
      </c>
      <c r="O77" s="52"/>
      <c r="P77" s="52"/>
    </row>
    <row r="78" spans="1:16" s="53" customFormat="1" ht="12">
      <c r="A78" s="36">
        <v>71</v>
      </c>
      <c r="B78" s="35" t="s">
        <v>124</v>
      </c>
      <c r="C78" s="52">
        <f t="shared" si="2"/>
        <v>11900</v>
      </c>
      <c r="D78" s="52"/>
      <c r="E78" s="52"/>
      <c r="F78" s="52"/>
      <c r="G78" s="52"/>
      <c r="H78" s="52"/>
      <c r="I78" s="52"/>
      <c r="J78" s="52">
        <f t="shared" si="1"/>
        <v>0</v>
      </c>
      <c r="K78" s="52"/>
      <c r="L78" s="52"/>
      <c r="M78" s="52"/>
      <c r="N78" s="52">
        <v>11900</v>
      </c>
      <c r="O78" s="52"/>
      <c r="P78" s="52"/>
    </row>
    <row r="79" spans="1:16" s="53" customFormat="1" ht="12">
      <c r="A79" s="36">
        <v>72</v>
      </c>
      <c r="B79" s="35" t="s">
        <v>125</v>
      </c>
      <c r="C79" s="52">
        <f t="shared" si="2"/>
        <v>57332</v>
      </c>
      <c r="D79" s="52"/>
      <c r="E79" s="52">
        <v>5221</v>
      </c>
      <c r="F79" s="52">
        <v>1352</v>
      </c>
      <c r="G79" s="52">
        <v>225</v>
      </c>
      <c r="H79" s="52">
        <v>1923</v>
      </c>
      <c r="I79" s="52">
        <v>29142</v>
      </c>
      <c r="J79" s="52">
        <f t="shared" si="1"/>
        <v>0</v>
      </c>
      <c r="K79" s="52"/>
      <c r="L79" s="52"/>
      <c r="M79" s="52"/>
      <c r="N79" s="52"/>
      <c r="O79" s="52">
        <v>9490</v>
      </c>
      <c r="P79" s="52">
        <v>9979</v>
      </c>
    </row>
    <row r="80" spans="1:16" s="53" customFormat="1" ht="12">
      <c r="A80" s="36">
        <v>73</v>
      </c>
      <c r="B80" s="35" t="s">
        <v>126</v>
      </c>
      <c r="C80" s="52">
        <f t="shared" si="2"/>
        <v>70084</v>
      </c>
      <c r="D80" s="52"/>
      <c r="E80" s="52">
        <v>6385</v>
      </c>
      <c r="F80" s="52">
        <v>1326</v>
      </c>
      <c r="G80" s="52">
        <v>360</v>
      </c>
      <c r="H80" s="52">
        <v>2393</v>
      </c>
      <c r="I80" s="52">
        <v>34511</v>
      </c>
      <c r="J80" s="52">
        <f t="shared" si="1"/>
        <v>0</v>
      </c>
      <c r="K80" s="52"/>
      <c r="L80" s="52"/>
      <c r="M80" s="52"/>
      <c r="N80" s="52"/>
      <c r="O80" s="52">
        <v>8446</v>
      </c>
      <c r="P80" s="52">
        <v>16663</v>
      </c>
    </row>
    <row r="81" spans="1:16" s="53" customFormat="1" ht="12">
      <c r="A81" s="36">
        <v>74</v>
      </c>
      <c r="B81" s="35" t="s">
        <v>127</v>
      </c>
      <c r="C81" s="52">
        <f t="shared" si="2"/>
        <v>63619</v>
      </c>
      <c r="D81" s="52"/>
      <c r="E81" s="52">
        <v>5892</v>
      </c>
      <c r="F81" s="52">
        <v>1473</v>
      </c>
      <c r="G81" s="52">
        <v>387</v>
      </c>
      <c r="H81" s="52">
        <v>2057</v>
      </c>
      <c r="I81" s="52">
        <v>29662</v>
      </c>
      <c r="J81" s="52">
        <f t="shared" si="1"/>
        <v>0</v>
      </c>
      <c r="K81" s="52"/>
      <c r="L81" s="52"/>
      <c r="M81" s="52"/>
      <c r="N81" s="52"/>
      <c r="O81" s="52">
        <v>7600</v>
      </c>
      <c r="P81" s="52">
        <v>16548</v>
      </c>
    </row>
    <row r="82" spans="1:16" s="53" customFormat="1" ht="12">
      <c r="A82" s="36">
        <v>75</v>
      </c>
      <c r="B82" s="35" t="s">
        <v>128</v>
      </c>
      <c r="C82" s="52">
        <f t="shared" si="2"/>
        <v>40701</v>
      </c>
      <c r="D82" s="52"/>
      <c r="E82" s="52">
        <v>3930</v>
      </c>
      <c r="F82" s="52">
        <v>1080</v>
      </c>
      <c r="G82" s="52">
        <v>1618</v>
      </c>
      <c r="H82" s="52">
        <v>1456</v>
      </c>
      <c r="I82" s="52">
        <v>17462</v>
      </c>
      <c r="J82" s="52">
        <f t="shared" si="1"/>
        <v>0</v>
      </c>
      <c r="K82" s="52"/>
      <c r="L82" s="52"/>
      <c r="M82" s="52"/>
      <c r="N82" s="52"/>
      <c r="O82" s="52">
        <v>4427</v>
      </c>
      <c r="P82" s="52">
        <v>10728</v>
      </c>
    </row>
    <row r="83" spans="1:16" s="53" customFormat="1" ht="12">
      <c r="A83" s="36">
        <v>76</v>
      </c>
      <c r="B83" s="35" t="s">
        <v>129</v>
      </c>
      <c r="C83" s="52">
        <f t="shared" si="2"/>
        <v>70800</v>
      </c>
      <c r="D83" s="52"/>
      <c r="E83" s="52">
        <v>6837</v>
      </c>
      <c r="F83" s="52">
        <v>1982</v>
      </c>
      <c r="G83" s="52">
        <v>1114</v>
      </c>
      <c r="H83" s="52">
        <v>2559</v>
      </c>
      <c r="I83" s="52">
        <v>28614</v>
      </c>
      <c r="J83" s="52">
        <f t="shared" si="1"/>
        <v>0</v>
      </c>
      <c r="K83" s="52"/>
      <c r="L83" s="52"/>
      <c r="M83" s="52"/>
      <c r="N83" s="52"/>
      <c r="O83" s="52">
        <v>4671</v>
      </c>
      <c r="P83" s="52">
        <v>25023</v>
      </c>
    </row>
    <row r="84" spans="1:16" s="53" customFormat="1" ht="12">
      <c r="A84" s="36">
        <v>77</v>
      </c>
      <c r="B84" s="35" t="s">
        <v>130</v>
      </c>
      <c r="C84" s="52">
        <f t="shared" si="2"/>
        <v>34098</v>
      </c>
      <c r="D84" s="52"/>
      <c r="E84" s="52">
        <v>3326</v>
      </c>
      <c r="F84" s="52">
        <v>841</v>
      </c>
      <c r="G84" s="52">
        <v>881</v>
      </c>
      <c r="H84" s="52">
        <v>1122</v>
      </c>
      <c r="I84" s="52">
        <v>13477</v>
      </c>
      <c r="J84" s="52">
        <f t="shared" si="1"/>
        <v>0</v>
      </c>
      <c r="K84" s="52"/>
      <c r="L84" s="52"/>
      <c r="M84" s="52"/>
      <c r="N84" s="52"/>
      <c r="O84" s="52">
        <v>5379</v>
      </c>
      <c r="P84" s="52">
        <v>9072</v>
      </c>
    </row>
    <row r="85" spans="1:16" s="53" customFormat="1" ht="12">
      <c r="A85" s="36">
        <v>78</v>
      </c>
      <c r="B85" s="35" t="s">
        <v>131</v>
      </c>
      <c r="C85" s="52">
        <f t="shared" si="2"/>
        <v>17420</v>
      </c>
      <c r="D85" s="52"/>
      <c r="E85" s="52"/>
      <c r="F85" s="52"/>
      <c r="G85" s="52"/>
      <c r="H85" s="52"/>
      <c r="I85" s="52"/>
      <c r="J85" s="52">
        <f t="shared" si="1"/>
        <v>0</v>
      </c>
      <c r="K85" s="52"/>
      <c r="L85" s="52"/>
      <c r="M85" s="52"/>
      <c r="N85" s="52"/>
      <c r="O85" s="52">
        <v>4133</v>
      </c>
      <c r="P85" s="52">
        <v>13287</v>
      </c>
    </row>
    <row r="86" spans="1:16" s="53" customFormat="1" ht="12">
      <c r="A86" s="36">
        <v>79</v>
      </c>
      <c r="B86" s="35" t="s">
        <v>132</v>
      </c>
      <c r="C86" s="52">
        <f t="shared" si="2"/>
        <v>260027</v>
      </c>
      <c r="D86" s="52">
        <v>5169</v>
      </c>
      <c r="E86" s="52">
        <v>23683</v>
      </c>
      <c r="F86" s="52">
        <v>7143</v>
      </c>
      <c r="G86" s="52">
        <v>6398</v>
      </c>
      <c r="H86" s="52">
        <v>11638</v>
      </c>
      <c r="I86" s="52">
        <v>123522</v>
      </c>
      <c r="J86" s="52">
        <v>1464</v>
      </c>
      <c r="K86" s="52">
        <v>1064</v>
      </c>
      <c r="L86" s="52">
        <v>400</v>
      </c>
      <c r="M86" s="52"/>
      <c r="N86" s="52"/>
      <c r="O86" s="52">
        <v>30604</v>
      </c>
      <c r="P86" s="52">
        <v>50406</v>
      </c>
    </row>
    <row r="87" spans="1:16" s="53" customFormat="1" ht="12">
      <c r="A87" s="36">
        <v>80</v>
      </c>
      <c r="B87" s="35" t="s">
        <v>133</v>
      </c>
      <c r="C87" s="52">
        <f t="shared" si="2"/>
        <v>238134</v>
      </c>
      <c r="D87" s="52">
        <v>39377</v>
      </c>
      <c r="E87" s="52">
        <v>17300</v>
      </c>
      <c r="F87" s="52">
        <v>5191</v>
      </c>
      <c r="G87" s="52">
        <v>2845</v>
      </c>
      <c r="H87" s="52">
        <v>9600</v>
      </c>
      <c r="I87" s="52">
        <v>96379</v>
      </c>
      <c r="J87" s="52">
        <f t="shared" si="1"/>
        <v>1464</v>
      </c>
      <c r="K87" s="52">
        <v>1170</v>
      </c>
      <c r="L87" s="52">
        <v>294</v>
      </c>
      <c r="M87" s="52"/>
      <c r="N87" s="52"/>
      <c r="O87" s="52">
        <v>27458</v>
      </c>
      <c r="P87" s="52">
        <v>38520</v>
      </c>
    </row>
    <row r="88" spans="1:16" s="53" customFormat="1" ht="24">
      <c r="A88" s="36">
        <v>81</v>
      </c>
      <c r="B88" s="37" t="s">
        <v>134</v>
      </c>
      <c r="C88" s="52">
        <f t="shared" si="2"/>
        <v>11200</v>
      </c>
      <c r="D88" s="52"/>
      <c r="E88" s="52"/>
      <c r="F88" s="52"/>
      <c r="G88" s="52"/>
      <c r="H88" s="52"/>
      <c r="I88" s="52"/>
      <c r="J88" s="52">
        <f t="shared" si="1"/>
        <v>0</v>
      </c>
      <c r="K88" s="52"/>
      <c r="L88" s="52"/>
      <c r="M88" s="52"/>
      <c r="N88" s="52">
        <v>11200</v>
      </c>
      <c r="O88" s="52"/>
      <c r="P88" s="52"/>
    </row>
    <row r="89" spans="1:16" s="53" customFormat="1" ht="12">
      <c r="A89" s="36">
        <v>82</v>
      </c>
      <c r="B89" s="35" t="s">
        <v>135</v>
      </c>
      <c r="C89" s="52">
        <f t="shared" si="2"/>
        <v>57851</v>
      </c>
      <c r="D89" s="52"/>
      <c r="E89" s="52">
        <v>5601</v>
      </c>
      <c r="F89" s="52">
        <v>1942</v>
      </c>
      <c r="G89" s="52">
        <v>1170</v>
      </c>
      <c r="H89" s="52">
        <v>2032</v>
      </c>
      <c r="I89" s="52">
        <v>24734</v>
      </c>
      <c r="J89" s="52">
        <f t="shared" si="1"/>
        <v>0</v>
      </c>
      <c r="K89" s="52"/>
      <c r="L89" s="52"/>
      <c r="M89" s="52"/>
      <c r="N89" s="52"/>
      <c r="O89" s="52">
        <v>5839</v>
      </c>
      <c r="P89" s="52">
        <v>16533</v>
      </c>
    </row>
    <row r="90" spans="1:16" s="53" customFormat="1" ht="12">
      <c r="A90" s="36">
        <v>83</v>
      </c>
      <c r="B90" s="35" t="s">
        <v>136</v>
      </c>
      <c r="C90" s="52">
        <f t="shared" si="2"/>
        <v>66412</v>
      </c>
      <c r="D90" s="52"/>
      <c r="E90" s="52">
        <v>5700</v>
      </c>
      <c r="F90" s="52">
        <v>1860</v>
      </c>
      <c r="G90" s="52">
        <v>1115</v>
      </c>
      <c r="H90" s="52">
        <v>1220</v>
      </c>
      <c r="I90" s="52">
        <v>29961</v>
      </c>
      <c r="J90" s="52">
        <f t="shared" si="1"/>
        <v>0</v>
      </c>
      <c r="K90" s="52"/>
      <c r="L90" s="52"/>
      <c r="M90" s="52"/>
      <c r="N90" s="52"/>
      <c r="O90" s="52">
        <v>10966</v>
      </c>
      <c r="P90" s="52">
        <v>15590</v>
      </c>
    </row>
    <row r="91" spans="1:16" s="53" customFormat="1" ht="12">
      <c r="A91" s="36">
        <v>84</v>
      </c>
      <c r="B91" s="35" t="s">
        <v>137</v>
      </c>
      <c r="C91" s="52">
        <f t="shared" si="2"/>
        <v>45263</v>
      </c>
      <c r="D91" s="52"/>
      <c r="E91" s="52">
        <v>4272</v>
      </c>
      <c r="F91" s="52">
        <v>1267</v>
      </c>
      <c r="G91" s="52">
        <v>945</v>
      </c>
      <c r="H91" s="52">
        <v>1601</v>
      </c>
      <c r="I91" s="52">
        <v>20655</v>
      </c>
      <c r="J91" s="52">
        <f t="shared" si="1"/>
        <v>0</v>
      </c>
      <c r="K91" s="52"/>
      <c r="L91" s="52"/>
      <c r="M91" s="52"/>
      <c r="N91" s="52"/>
      <c r="O91" s="52">
        <v>8240</v>
      </c>
      <c r="P91" s="52">
        <v>8283</v>
      </c>
    </row>
    <row r="92" spans="1:16" s="53" customFormat="1" ht="12">
      <c r="A92" s="36">
        <v>85</v>
      </c>
      <c r="B92" s="35" t="s">
        <v>138</v>
      </c>
      <c r="C92" s="52">
        <f t="shared" si="2"/>
        <v>169697</v>
      </c>
      <c r="D92" s="52"/>
      <c r="E92" s="52"/>
      <c r="F92" s="52"/>
      <c r="G92" s="52">
        <v>2300</v>
      </c>
      <c r="H92" s="52"/>
      <c r="I92" s="52">
        <v>152712</v>
      </c>
      <c r="J92" s="52">
        <f t="shared" si="1"/>
        <v>0</v>
      </c>
      <c r="K92" s="52"/>
      <c r="L92" s="52"/>
      <c r="M92" s="52"/>
      <c r="N92" s="52"/>
      <c r="O92" s="52">
        <v>8791</v>
      </c>
      <c r="P92" s="52">
        <v>5894</v>
      </c>
    </row>
    <row r="93" spans="1:16" s="53" customFormat="1" ht="12">
      <c r="A93" s="36">
        <v>86</v>
      </c>
      <c r="B93" s="35" t="s">
        <v>139</v>
      </c>
      <c r="C93" s="52">
        <f t="shared" si="2"/>
        <v>143859</v>
      </c>
      <c r="D93" s="52"/>
      <c r="E93" s="52"/>
      <c r="F93" s="52"/>
      <c r="G93" s="52">
        <v>3757</v>
      </c>
      <c r="H93" s="52"/>
      <c r="I93" s="52">
        <v>129406</v>
      </c>
      <c r="J93" s="52">
        <f t="shared" si="1"/>
        <v>0</v>
      </c>
      <c r="K93" s="52"/>
      <c r="L93" s="52"/>
      <c r="M93" s="52"/>
      <c r="N93" s="52"/>
      <c r="O93" s="52">
        <v>1276</v>
      </c>
      <c r="P93" s="52">
        <v>9420</v>
      </c>
    </row>
    <row r="94" spans="1:16" s="53" customFormat="1" ht="12">
      <c r="A94" s="36">
        <v>87</v>
      </c>
      <c r="B94" s="35" t="s">
        <v>140</v>
      </c>
      <c r="C94" s="52">
        <f t="shared" si="2"/>
        <v>197082</v>
      </c>
      <c r="D94" s="52"/>
      <c r="E94" s="52"/>
      <c r="F94" s="52"/>
      <c r="G94" s="52">
        <v>582</v>
      </c>
      <c r="H94" s="52"/>
      <c r="I94" s="52">
        <v>183246</v>
      </c>
      <c r="J94" s="52">
        <f t="shared" si="1"/>
        <v>0</v>
      </c>
      <c r="K94" s="52"/>
      <c r="L94" s="52"/>
      <c r="M94" s="52"/>
      <c r="N94" s="52"/>
      <c r="O94" s="52">
        <v>9000</v>
      </c>
      <c r="P94" s="52">
        <v>4254</v>
      </c>
    </row>
    <row r="95" spans="1:16" s="53" customFormat="1" ht="12">
      <c r="A95" s="36">
        <v>88</v>
      </c>
      <c r="B95" s="35" t="s">
        <v>141</v>
      </c>
      <c r="C95" s="52">
        <f t="shared" si="2"/>
        <v>255479</v>
      </c>
      <c r="D95" s="52">
        <v>14220</v>
      </c>
      <c r="E95" s="52"/>
      <c r="F95" s="52"/>
      <c r="G95" s="52">
        <v>3366</v>
      </c>
      <c r="H95" s="52"/>
      <c r="I95" s="52">
        <v>226163</v>
      </c>
      <c r="J95" s="52">
        <f t="shared" si="1"/>
        <v>0</v>
      </c>
      <c r="K95" s="52"/>
      <c r="L95" s="52"/>
      <c r="M95" s="52"/>
      <c r="N95" s="52"/>
      <c r="O95" s="52">
        <v>5300</v>
      </c>
      <c r="P95" s="52">
        <v>6430</v>
      </c>
    </row>
    <row r="96" spans="1:16" s="53" customFormat="1" ht="12">
      <c r="A96" s="36">
        <v>89</v>
      </c>
      <c r="B96" s="35" t="s">
        <v>142</v>
      </c>
      <c r="C96" s="52">
        <f t="shared" si="2"/>
        <v>88243</v>
      </c>
      <c r="D96" s="52"/>
      <c r="E96" s="52"/>
      <c r="F96" s="52"/>
      <c r="G96" s="52">
        <v>675</v>
      </c>
      <c r="H96" s="52"/>
      <c r="I96" s="52">
        <v>78162</v>
      </c>
      <c r="J96" s="52">
        <f t="shared" si="1"/>
        <v>0</v>
      </c>
      <c r="K96" s="52"/>
      <c r="L96" s="52"/>
      <c r="M96" s="52"/>
      <c r="N96" s="52"/>
      <c r="O96" s="52">
        <v>2600</v>
      </c>
      <c r="P96" s="52">
        <v>6806</v>
      </c>
    </row>
    <row r="97" spans="1:16" s="53" customFormat="1" ht="12">
      <c r="A97" s="36">
        <v>90</v>
      </c>
      <c r="B97" s="35" t="s">
        <v>143</v>
      </c>
      <c r="C97" s="52">
        <f t="shared" si="2"/>
        <v>24000</v>
      </c>
      <c r="D97" s="52"/>
      <c r="E97" s="52"/>
      <c r="F97" s="52"/>
      <c r="G97" s="52"/>
      <c r="H97" s="52"/>
      <c r="I97" s="52"/>
      <c r="J97" s="52">
        <f t="shared" si="1"/>
        <v>0</v>
      </c>
      <c r="K97" s="52"/>
      <c r="L97" s="52"/>
      <c r="M97" s="52"/>
      <c r="N97" s="52">
        <v>24000</v>
      </c>
      <c r="O97" s="52"/>
      <c r="P97" s="52"/>
    </row>
    <row r="98" spans="1:16" s="53" customFormat="1" ht="12">
      <c r="A98" s="36">
        <v>91</v>
      </c>
      <c r="B98" s="35" t="s">
        <v>144</v>
      </c>
      <c r="C98" s="52">
        <f t="shared" si="2"/>
        <v>25596</v>
      </c>
      <c r="D98" s="52"/>
      <c r="E98" s="52"/>
      <c r="F98" s="52"/>
      <c r="G98" s="52"/>
      <c r="H98" s="52"/>
      <c r="I98" s="52"/>
      <c r="J98" s="52">
        <f t="shared" si="1"/>
        <v>0</v>
      </c>
      <c r="K98" s="52"/>
      <c r="L98" s="52"/>
      <c r="M98" s="52"/>
      <c r="N98" s="52">
        <v>25596</v>
      </c>
      <c r="O98" s="52"/>
      <c r="P98" s="52"/>
    </row>
    <row r="99" spans="1:16" s="53" customFormat="1" ht="12">
      <c r="A99" s="36">
        <v>92</v>
      </c>
      <c r="B99" s="35" t="s">
        <v>145</v>
      </c>
      <c r="C99" s="52">
        <f t="shared" si="2"/>
        <v>67122</v>
      </c>
      <c r="D99" s="52"/>
      <c r="E99" s="52">
        <v>14996</v>
      </c>
      <c r="F99" s="52">
        <v>2076</v>
      </c>
      <c r="G99" s="52"/>
      <c r="H99" s="52">
        <v>4811</v>
      </c>
      <c r="I99" s="52">
        <v>27468</v>
      </c>
      <c r="J99" s="52">
        <f t="shared" si="1"/>
        <v>0</v>
      </c>
      <c r="K99" s="52"/>
      <c r="L99" s="52"/>
      <c r="M99" s="52"/>
      <c r="N99" s="52"/>
      <c r="O99" s="52">
        <v>2380</v>
      </c>
      <c r="P99" s="52">
        <v>15391</v>
      </c>
    </row>
    <row r="100" spans="1:16" s="53" customFormat="1" ht="12">
      <c r="A100" s="36">
        <v>93</v>
      </c>
      <c r="B100" s="35" t="s">
        <v>146</v>
      </c>
      <c r="C100" s="52">
        <f t="shared" si="2"/>
        <v>55366</v>
      </c>
      <c r="D100" s="52">
        <v>17433</v>
      </c>
      <c r="E100" s="52">
        <v>9701</v>
      </c>
      <c r="F100" s="52">
        <v>2910</v>
      </c>
      <c r="G100" s="52"/>
      <c r="H100" s="52">
        <v>5166</v>
      </c>
      <c r="I100" s="52"/>
      <c r="J100" s="52">
        <f t="shared" ref="J100:J165" si="3">K100+L100</f>
        <v>0</v>
      </c>
      <c r="K100" s="52"/>
      <c r="L100" s="52"/>
      <c r="M100" s="52"/>
      <c r="N100" s="52"/>
      <c r="O100" s="52">
        <v>4403</v>
      </c>
      <c r="P100" s="52">
        <v>15753</v>
      </c>
    </row>
    <row r="101" spans="1:16" s="53" customFormat="1" ht="12">
      <c r="A101" s="36">
        <v>94</v>
      </c>
      <c r="B101" s="35" t="s">
        <v>147</v>
      </c>
      <c r="C101" s="52">
        <f t="shared" si="2"/>
        <v>37550</v>
      </c>
      <c r="D101" s="52"/>
      <c r="E101" s="52">
        <v>7973</v>
      </c>
      <c r="F101" s="52">
        <v>1993</v>
      </c>
      <c r="G101" s="52"/>
      <c r="H101" s="52">
        <v>4602</v>
      </c>
      <c r="I101" s="52"/>
      <c r="J101" s="52">
        <f t="shared" si="3"/>
        <v>0</v>
      </c>
      <c r="K101" s="52"/>
      <c r="L101" s="52"/>
      <c r="M101" s="52"/>
      <c r="N101" s="52"/>
      <c r="O101" s="52">
        <v>9861</v>
      </c>
      <c r="P101" s="52">
        <v>13121</v>
      </c>
    </row>
    <row r="102" spans="1:16" s="53" customFormat="1" ht="12">
      <c r="A102" s="36">
        <v>95</v>
      </c>
      <c r="B102" s="35" t="s">
        <v>148</v>
      </c>
      <c r="C102" s="52">
        <f t="shared" si="2"/>
        <v>53717</v>
      </c>
      <c r="D102" s="52">
        <v>26129</v>
      </c>
      <c r="E102" s="52">
        <v>6883</v>
      </c>
      <c r="F102" s="52">
        <v>1720</v>
      </c>
      <c r="G102" s="52"/>
      <c r="H102" s="52">
        <v>3340</v>
      </c>
      <c r="I102" s="52"/>
      <c r="J102" s="52">
        <f t="shared" si="3"/>
        <v>0</v>
      </c>
      <c r="K102" s="52"/>
      <c r="L102" s="52"/>
      <c r="M102" s="52"/>
      <c r="N102" s="52"/>
      <c r="O102" s="52">
        <v>4099</v>
      </c>
      <c r="P102" s="52">
        <v>11546</v>
      </c>
    </row>
    <row r="103" spans="1:16" s="53" customFormat="1" ht="12">
      <c r="A103" s="36">
        <v>96</v>
      </c>
      <c r="B103" s="35" t="s">
        <v>149</v>
      </c>
      <c r="C103" s="52">
        <f t="shared" si="2"/>
        <v>93543</v>
      </c>
      <c r="D103" s="52"/>
      <c r="E103" s="52">
        <v>16298</v>
      </c>
      <c r="F103" s="52">
        <v>4750</v>
      </c>
      <c r="G103" s="52"/>
      <c r="H103" s="52">
        <v>8797</v>
      </c>
      <c r="I103" s="52"/>
      <c r="J103" s="52">
        <f t="shared" si="3"/>
        <v>1464</v>
      </c>
      <c r="K103" s="52">
        <v>878</v>
      </c>
      <c r="L103" s="52">
        <v>586</v>
      </c>
      <c r="M103" s="52"/>
      <c r="N103" s="52"/>
      <c r="O103" s="52">
        <v>31401</v>
      </c>
      <c r="P103" s="52">
        <v>30833</v>
      </c>
    </row>
    <row r="104" spans="1:16" s="53" customFormat="1" ht="12">
      <c r="A104" s="36">
        <v>97</v>
      </c>
      <c r="B104" s="35" t="s">
        <v>150</v>
      </c>
      <c r="C104" s="52">
        <f t="shared" si="2"/>
        <v>47268</v>
      </c>
      <c r="D104" s="52"/>
      <c r="E104" s="52">
        <v>9664</v>
      </c>
      <c r="F104" s="52">
        <v>2899</v>
      </c>
      <c r="G104" s="52"/>
      <c r="H104" s="52">
        <v>5000</v>
      </c>
      <c r="I104" s="52"/>
      <c r="J104" s="52">
        <f t="shared" si="3"/>
        <v>0</v>
      </c>
      <c r="K104" s="52"/>
      <c r="L104" s="52"/>
      <c r="M104" s="52"/>
      <c r="N104" s="52"/>
      <c r="O104" s="52">
        <v>14084</v>
      </c>
      <c r="P104" s="52">
        <v>15621</v>
      </c>
    </row>
    <row r="105" spans="1:16" s="53" customFormat="1" ht="12">
      <c r="A105" s="36">
        <v>98</v>
      </c>
      <c r="B105" s="35" t="s">
        <v>151</v>
      </c>
      <c r="C105" s="52">
        <f t="shared" si="2"/>
        <v>59836</v>
      </c>
      <c r="D105" s="52">
        <v>17135</v>
      </c>
      <c r="E105" s="52">
        <v>10200</v>
      </c>
      <c r="F105" s="52">
        <v>2550</v>
      </c>
      <c r="G105" s="52"/>
      <c r="H105" s="52">
        <v>4605</v>
      </c>
      <c r="I105" s="52"/>
      <c r="J105" s="52">
        <f t="shared" si="3"/>
        <v>1464</v>
      </c>
      <c r="K105" s="52">
        <v>1025</v>
      </c>
      <c r="L105" s="52">
        <v>439</v>
      </c>
      <c r="M105" s="52"/>
      <c r="N105" s="52"/>
      <c r="O105" s="52">
        <v>5950</v>
      </c>
      <c r="P105" s="52">
        <v>17932</v>
      </c>
    </row>
    <row r="106" spans="1:16" s="53" customFormat="1" ht="12">
      <c r="A106" s="36">
        <v>99</v>
      </c>
      <c r="B106" s="35" t="s">
        <v>152</v>
      </c>
      <c r="C106" s="52">
        <f t="shared" si="2"/>
        <v>24929</v>
      </c>
      <c r="D106" s="52"/>
      <c r="E106" s="52">
        <v>6112</v>
      </c>
      <c r="F106" s="52">
        <v>1534</v>
      </c>
      <c r="G106" s="52"/>
      <c r="H106" s="52">
        <v>3109</v>
      </c>
      <c r="I106" s="52"/>
      <c r="J106" s="52">
        <f t="shared" si="3"/>
        <v>0</v>
      </c>
      <c r="K106" s="52"/>
      <c r="L106" s="52"/>
      <c r="M106" s="52"/>
      <c r="N106" s="52"/>
      <c r="O106" s="52">
        <v>2687</v>
      </c>
      <c r="P106" s="52">
        <v>11487</v>
      </c>
    </row>
    <row r="107" spans="1:16" s="53" customFormat="1" ht="12">
      <c r="A107" s="36">
        <v>100</v>
      </c>
      <c r="B107" s="35" t="s">
        <v>153</v>
      </c>
      <c r="C107" s="52">
        <f t="shared" si="2"/>
        <v>98291</v>
      </c>
      <c r="D107" s="52"/>
      <c r="E107" s="52">
        <v>18665</v>
      </c>
      <c r="F107" s="52">
        <v>5730</v>
      </c>
      <c r="G107" s="52"/>
      <c r="H107" s="52">
        <v>9009</v>
      </c>
      <c r="I107" s="52"/>
      <c r="J107" s="52">
        <f t="shared" si="3"/>
        <v>1464</v>
      </c>
      <c r="K107" s="52">
        <v>1200</v>
      </c>
      <c r="L107" s="52">
        <v>264</v>
      </c>
      <c r="M107" s="52"/>
      <c r="N107" s="52"/>
      <c r="O107" s="52">
        <v>26217</v>
      </c>
      <c r="P107" s="52">
        <v>37206</v>
      </c>
    </row>
    <row r="108" spans="1:16" s="53" customFormat="1" ht="12">
      <c r="A108" s="36">
        <v>101</v>
      </c>
      <c r="B108" s="35" t="s">
        <v>154</v>
      </c>
      <c r="C108" s="52">
        <f t="shared" si="2"/>
        <v>32687</v>
      </c>
      <c r="D108" s="52"/>
      <c r="E108" s="52">
        <v>8300</v>
      </c>
      <c r="F108" s="52">
        <v>2075</v>
      </c>
      <c r="G108" s="52"/>
      <c r="H108" s="52">
        <v>4100</v>
      </c>
      <c r="I108" s="52"/>
      <c r="J108" s="52">
        <f t="shared" si="3"/>
        <v>0</v>
      </c>
      <c r="K108" s="52"/>
      <c r="L108" s="52"/>
      <c r="M108" s="52"/>
      <c r="N108" s="52"/>
      <c r="O108" s="52">
        <v>5316</v>
      </c>
      <c r="P108" s="52">
        <v>12896</v>
      </c>
    </row>
    <row r="109" spans="1:16" s="53" customFormat="1" ht="12">
      <c r="A109" s="36">
        <v>102</v>
      </c>
      <c r="B109" s="35" t="s">
        <v>155</v>
      </c>
      <c r="C109" s="52">
        <f t="shared" si="2"/>
        <v>32262</v>
      </c>
      <c r="D109" s="52"/>
      <c r="E109" s="52">
        <v>6120</v>
      </c>
      <c r="F109" s="52">
        <v>1530</v>
      </c>
      <c r="G109" s="52"/>
      <c r="H109" s="52">
        <v>2500</v>
      </c>
      <c r="I109" s="52"/>
      <c r="J109" s="52">
        <f t="shared" si="3"/>
        <v>0</v>
      </c>
      <c r="K109" s="52"/>
      <c r="L109" s="52"/>
      <c r="M109" s="52"/>
      <c r="N109" s="52"/>
      <c r="O109" s="52">
        <v>7925</v>
      </c>
      <c r="P109" s="52">
        <v>14187</v>
      </c>
    </row>
    <row r="110" spans="1:16" s="53" customFormat="1" ht="12">
      <c r="A110" s="36">
        <v>103</v>
      </c>
      <c r="B110" s="35" t="s">
        <v>156</v>
      </c>
      <c r="C110" s="52">
        <f t="shared" si="2"/>
        <v>1795</v>
      </c>
      <c r="D110" s="52"/>
      <c r="E110" s="52"/>
      <c r="F110" s="52"/>
      <c r="G110" s="52"/>
      <c r="H110" s="52"/>
      <c r="I110" s="52"/>
      <c r="J110" s="52">
        <f t="shared" si="3"/>
        <v>0</v>
      </c>
      <c r="K110" s="52"/>
      <c r="L110" s="52"/>
      <c r="M110" s="52"/>
      <c r="N110" s="52">
        <v>1795</v>
      </c>
      <c r="O110" s="52"/>
      <c r="P110" s="52"/>
    </row>
    <row r="111" spans="1:16" s="53" customFormat="1" ht="12">
      <c r="A111" s="36">
        <v>104</v>
      </c>
      <c r="B111" s="35" t="s">
        <v>157</v>
      </c>
      <c r="C111" s="52">
        <f t="shared" si="2"/>
        <v>2071</v>
      </c>
      <c r="D111" s="52"/>
      <c r="E111" s="52"/>
      <c r="F111" s="52"/>
      <c r="G111" s="52"/>
      <c r="H111" s="52"/>
      <c r="I111" s="52"/>
      <c r="J111" s="52">
        <f t="shared" si="3"/>
        <v>0</v>
      </c>
      <c r="K111" s="52"/>
      <c r="L111" s="52"/>
      <c r="M111" s="52"/>
      <c r="N111" s="52">
        <v>2071</v>
      </c>
      <c r="O111" s="52"/>
      <c r="P111" s="52"/>
    </row>
    <row r="112" spans="1:16" s="53" customFormat="1" ht="12">
      <c r="A112" s="36">
        <v>105</v>
      </c>
      <c r="B112" s="35" t="s">
        <v>158</v>
      </c>
      <c r="C112" s="52">
        <f t="shared" si="2"/>
        <v>2283</v>
      </c>
      <c r="D112" s="52"/>
      <c r="E112" s="52"/>
      <c r="F112" s="52"/>
      <c r="G112" s="52"/>
      <c r="H112" s="52"/>
      <c r="I112" s="52"/>
      <c r="J112" s="52">
        <f t="shared" si="3"/>
        <v>0</v>
      </c>
      <c r="K112" s="52"/>
      <c r="L112" s="52"/>
      <c r="M112" s="52"/>
      <c r="N112" s="52">
        <v>2283</v>
      </c>
      <c r="O112" s="52"/>
      <c r="P112" s="52"/>
    </row>
    <row r="113" spans="1:16" s="53" customFormat="1" ht="12">
      <c r="A113" s="36">
        <v>106</v>
      </c>
      <c r="B113" s="35" t="s">
        <v>159</v>
      </c>
      <c r="C113" s="52">
        <f t="shared" si="2"/>
        <v>2058</v>
      </c>
      <c r="D113" s="52"/>
      <c r="E113" s="52"/>
      <c r="F113" s="52"/>
      <c r="G113" s="52"/>
      <c r="H113" s="52"/>
      <c r="I113" s="52"/>
      <c r="J113" s="52">
        <f t="shared" si="3"/>
        <v>0</v>
      </c>
      <c r="K113" s="52"/>
      <c r="L113" s="52"/>
      <c r="M113" s="52"/>
      <c r="N113" s="52">
        <v>2058</v>
      </c>
      <c r="O113" s="52"/>
      <c r="P113" s="52"/>
    </row>
    <row r="114" spans="1:16" s="53" customFormat="1" ht="12">
      <c r="A114" s="36">
        <v>107</v>
      </c>
      <c r="B114" s="35" t="s">
        <v>160</v>
      </c>
      <c r="C114" s="52">
        <f t="shared" si="2"/>
        <v>10200</v>
      </c>
      <c r="D114" s="52"/>
      <c r="E114" s="52"/>
      <c r="F114" s="52"/>
      <c r="G114" s="52"/>
      <c r="H114" s="52"/>
      <c r="I114" s="52"/>
      <c r="J114" s="52">
        <f t="shared" si="3"/>
        <v>0</v>
      </c>
      <c r="K114" s="52"/>
      <c r="L114" s="52"/>
      <c r="M114" s="52"/>
      <c r="N114" s="52">
        <v>10200</v>
      </c>
      <c r="O114" s="52"/>
      <c r="P114" s="52"/>
    </row>
    <row r="115" spans="1:16" s="53" customFormat="1" ht="12">
      <c r="A115" s="36">
        <v>108</v>
      </c>
      <c r="B115" s="35" t="s">
        <v>161</v>
      </c>
      <c r="C115" s="52">
        <f t="shared" si="2"/>
        <v>1848</v>
      </c>
      <c r="D115" s="52"/>
      <c r="E115" s="52"/>
      <c r="F115" s="52"/>
      <c r="G115" s="52"/>
      <c r="H115" s="52"/>
      <c r="I115" s="52"/>
      <c r="J115" s="52">
        <f t="shared" si="3"/>
        <v>0</v>
      </c>
      <c r="K115" s="52"/>
      <c r="L115" s="52"/>
      <c r="M115" s="52"/>
      <c r="N115" s="52">
        <v>1848</v>
      </c>
      <c r="O115" s="52"/>
      <c r="P115" s="52"/>
    </row>
    <row r="116" spans="1:16" s="53" customFormat="1" ht="12">
      <c r="A116" s="36">
        <v>109</v>
      </c>
      <c r="B116" s="35" t="s">
        <v>162</v>
      </c>
      <c r="C116" s="52">
        <f t="shared" si="2"/>
        <v>1554</v>
      </c>
      <c r="D116" s="52"/>
      <c r="E116" s="52"/>
      <c r="F116" s="52"/>
      <c r="G116" s="52"/>
      <c r="H116" s="52"/>
      <c r="I116" s="52"/>
      <c r="J116" s="52">
        <f t="shared" si="3"/>
        <v>0</v>
      </c>
      <c r="K116" s="52"/>
      <c r="L116" s="52"/>
      <c r="M116" s="52"/>
      <c r="N116" s="52">
        <v>1554</v>
      </c>
      <c r="O116" s="52"/>
      <c r="P116" s="52"/>
    </row>
    <row r="117" spans="1:16" s="53" customFormat="1" ht="12">
      <c r="A117" s="36">
        <v>110</v>
      </c>
      <c r="B117" s="35" t="s">
        <v>163</v>
      </c>
      <c r="C117" s="52">
        <f t="shared" si="2"/>
        <v>149365</v>
      </c>
      <c r="D117" s="52">
        <v>13512</v>
      </c>
      <c r="E117" s="52">
        <v>10229</v>
      </c>
      <c r="F117" s="52">
        <v>2662</v>
      </c>
      <c r="G117" s="52">
        <v>1599</v>
      </c>
      <c r="H117" s="52">
        <v>5500</v>
      </c>
      <c r="I117" s="52">
        <v>70627</v>
      </c>
      <c r="J117" s="52">
        <f t="shared" si="3"/>
        <v>0</v>
      </c>
      <c r="K117" s="52"/>
      <c r="L117" s="52"/>
      <c r="M117" s="52"/>
      <c r="N117" s="52"/>
      <c r="O117" s="52">
        <v>17450</v>
      </c>
      <c r="P117" s="52">
        <v>27786</v>
      </c>
    </row>
    <row r="118" spans="1:16" s="53" customFormat="1" ht="12">
      <c r="A118" s="36">
        <v>111</v>
      </c>
      <c r="B118" s="35" t="s">
        <v>164</v>
      </c>
      <c r="C118" s="52">
        <f t="shared" si="2"/>
        <v>60722</v>
      </c>
      <c r="D118" s="52"/>
      <c r="E118" s="52">
        <v>10313</v>
      </c>
      <c r="F118" s="52">
        <v>1800</v>
      </c>
      <c r="G118" s="52"/>
      <c r="H118" s="52">
        <v>6226</v>
      </c>
      <c r="I118" s="52"/>
      <c r="J118" s="52">
        <f t="shared" si="3"/>
        <v>1464</v>
      </c>
      <c r="K118" s="52">
        <v>1014</v>
      </c>
      <c r="L118" s="52">
        <v>450</v>
      </c>
      <c r="M118" s="52"/>
      <c r="N118" s="52"/>
      <c r="O118" s="52">
        <v>22103</v>
      </c>
      <c r="P118" s="52">
        <v>18816</v>
      </c>
    </row>
    <row r="119" spans="1:16" s="53" customFormat="1" ht="12">
      <c r="A119" s="36">
        <v>112</v>
      </c>
      <c r="B119" s="35" t="s">
        <v>165</v>
      </c>
      <c r="C119" s="52">
        <f t="shared" si="2"/>
        <v>48078</v>
      </c>
      <c r="D119" s="52"/>
      <c r="E119" s="52">
        <v>8650</v>
      </c>
      <c r="F119" s="52">
        <v>2510</v>
      </c>
      <c r="G119" s="52"/>
      <c r="H119" s="52">
        <v>4642</v>
      </c>
      <c r="I119" s="52"/>
      <c r="J119" s="52">
        <f t="shared" si="3"/>
        <v>0</v>
      </c>
      <c r="K119" s="52"/>
      <c r="L119" s="52"/>
      <c r="M119" s="52"/>
      <c r="N119" s="52"/>
      <c r="O119" s="52">
        <v>10600</v>
      </c>
      <c r="P119" s="52">
        <v>21676</v>
      </c>
    </row>
    <row r="120" spans="1:16" s="53" customFormat="1" ht="12">
      <c r="A120" s="36">
        <v>113</v>
      </c>
      <c r="B120" s="35" t="s">
        <v>166</v>
      </c>
      <c r="C120" s="52">
        <f t="shared" si="2"/>
        <v>25509</v>
      </c>
      <c r="D120" s="52"/>
      <c r="E120" s="52">
        <v>4500</v>
      </c>
      <c r="F120" s="52">
        <v>1367</v>
      </c>
      <c r="G120" s="52"/>
      <c r="H120" s="52">
        <v>2050</v>
      </c>
      <c r="I120" s="52"/>
      <c r="J120" s="52">
        <f t="shared" si="3"/>
        <v>0</v>
      </c>
      <c r="K120" s="52"/>
      <c r="L120" s="52"/>
      <c r="M120" s="52"/>
      <c r="N120" s="52"/>
      <c r="O120" s="52">
        <v>7085</v>
      </c>
      <c r="P120" s="52">
        <v>10507</v>
      </c>
    </row>
    <row r="121" spans="1:16" s="53" customFormat="1" ht="12">
      <c r="A121" s="36">
        <v>114</v>
      </c>
      <c r="B121" s="35" t="s">
        <v>167</v>
      </c>
      <c r="C121" s="52">
        <f t="shared" si="2"/>
        <v>26892</v>
      </c>
      <c r="D121" s="52">
        <v>16875</v>
      </c>
      <c r="E121" s="52">
        <v>1530</v>
      </c>
      <c r="F121" s="52">
        <v>346</v>
      </c>
      <c r="G121" s="52"/>
      <c r="H121" s="52">
        <v>1020</v>
      </c>
      <c r="I121" s="52"/>
      <c r="J121" s="52">
        <f t="shared" si="3"/>
        <v>1464</v>
      </c>
      <c r="K121" s="52">
        <v>882</v>
      </c>
      <c r="L121" s="52">
        <v>582</v>
      </c>
      <c r="M121" s="52"/>
      <c r="N121" s="52"/>
      <c r="O121" s="52"/>
      <c r="P121" s="52">
        <v>5657</v>
      </c>
    </row>
    <row r="122" spans="1:16" s="53" customFormat="1" ht="12">
      <c r="A122" s="36">
        <v>115</v>
      </c>
      <c r="B122" s="35" t="s">
        <v>168</v>
      </c>
      <c r="C122" s="52">
        <f t="shared" si="2"/>
        <v>21696</v>
      </c>
      <c r="D122" s="52"/>
      <c r="E122" s="52">
        <v>4200</v>
      </c>
      <c r="F122" s="52">
        <v>934</v>
      </c>
      <c r="G122" s="52"/>
      <c r="H122" s="52">
        <v>1876</v>
      </c>
      <c r="I122" s="52"/>
      <c r="J122" s="52">
        <f t="shared" si="3"/>
        <v>0</v>
      </c>
      <c r="K122" s="52"/>
      <c r="L122" s="52"/>
      <c r="M122" s="52"/>
      <c r="N122" s="52"/>
      <c r="O122" s="52">
        <v>6202</v>
      </c>
      <c r="P122" s="52">
        <v>8484</v>
      </c>
    </row>
    <row r="123" spans="1:16" s="53" customFormat="1" ht="12">
      <c r="A123" s="36">
        <v>116</v>
      </c>
      <c r="B123" s="35" t="s">
        <v>169</v>
      </c>
      <c r="C123" s="52">
        <f t="shared" si="2"/>
        <v>141653</v>
      </c>
      <c r="D123" s="52"/>
      <c r="E123" s="52">
        <v>25995</v>
      </c>
      <c r="F123" s="52">
        <v>6791</v>
      </c>
      <c r="G123" s="52"/>
      <c r="H123" s="52">
        <v>12000</v>
      </c>
      <c r="I123" s="52"/>
      <c r="J123" s="52">
        <f t="shared" si="3"/>
        <v>4148</v>
      </c>
      <c r="K123" s="52">
        <f>2428+732</f>
        <v>3160</v>
      </c>
      <c r="L123" s="52">
        <f>500+488</f>
        <v>988</v>
      </c>
      <c r="M123" s="52"/>
      <c r="N123" s="52"/>
      <c r="O123" s="52">
        <v>40508</v>
      </c>
      <c r="P123" s="52">
        <v>52211</v>
      </c>
    </row>
    <row r="124" spans="1:16" s="53" customFormat="1" ht="12">
      <c r="A124" s="36">
        <v>117</v>
      </c>
      <c r="B124" s="35" t="s">
        <v>170</v>
      </c>
      <c r="C124" s="52">
        <f t="shared" si="2"/>
        <v>156350</v>
      </c>
      <c r="D124" s="52">
        <v>9275</v>
      </c>
      <c r="E124" s="52"/>
      <c r="F124" s="52"/>
      <c r="G124" s="52">
        <v>4998</v>
      </c>
      <c r="H124" s="52"/>
      <c r="I124" s="52">
        <v>134371</v>
      </c>
      <c r="J124" s="52">
        <f t="shared" si="3"/>
        <v>0</v>
      </c>
      <c r="K124" s="52"/>
      <c r="L124" s="52"/>
      <c r="M124" s="52"/>
      <c r="N124" s="52"/>
      <c r="O124" s="52">
        <v>3000</v>
      </c>
      <c r="P124" s="52">
        <v>4706</v>
      </c>
    </row>
    <row r="125" spans="1:16" s="53" customFormat="1" ht="12">
      <c r="A125" s="36">
        <v>118</v>
      </c>
      <c r="B125" s="35" t="s">
        <v>171</v>
      </c>
      <c r="C125" s="52">
        <f t="shared" si="2"/>
        <v>71041</v>
      </c>
      <c r="D125" s="52">
        <v>18099</v>
      </c>
      <c r="E125" s="52">
        <v>7230</v>
      </c>
      <c r="F125" s="52">
        <v>1388</v>
      </c>
      <c r="G125" s="52"/>
      <c r="H125" s="52">
        <v>3360</v>
      </c>
      <c r="I125" s="52"/>
      <c r="J125" s="52">
        <f t="shared" si="3"/>
        <v>0</v>
      </c>
      <c r="K125" s="52"/>
      <c r="L125" s="52"/>
      <c r="M125" s="52"/>
      <c r="N125" s="52"/>
      <c r="O125" s="52">
        <v>12262</v>
      </c>
      <c r="P125" s="52">
        <v>28702</v>
      </c>
    </row>
    <row r="126" spans="1:16" s="53" customFormat="1" ht="12">
      <c r="A126" s="36">
        <v>119</v>
      </c>
      <c r="B126" s="35" t="s">
        <v>172</v>
      </c>
      <c r="C126" s="52">
        <f t="shared" si="2"/>
        <v>36640</v>
      </c>
      <c r="D126" s="52"/>
      <c r="E126" s="52"/>
      <c r="F126" s="52"/>
      <c r="G126" s="52"/>
      <c r="H126" s="52"/>
      <c r="I126" s="52"/>
      <c r="J126" s="52">
        <f t="shared" si="3"/>
        <v>0</v>
      </c>
      <c r="K126" s="52"/>
      <c r="L126" s="52"/>
      <c r="M126" s="52"/>
      <c r="N126" s="52">
        <v>36640</v>
      </c>
      <c r="O126" s="52"/>
      <c r="P126" s="52"/>
    </row>
    <row r="127" spans="1:16" s="53" customFormat="1" ht="12">
      <c r="A127" s="36">
        <v>120</v>
      </c>
      <c r="B127" s="35" t="s">
        <v>173</v>
      </c>
      <c r="C127" s="52">
        <f t="shared" si="2"/>
        <v>98069</v>
      </c>
      <c r="D127" s="52"/>
      <c r="E127" s="52">
        <v>6800</v>
      </c>
      <c r="F127" s="52">
        <v>1421</v>
      </c>
      <c r="G127" s="52">
        <v>1595</v>
      </c>
      <c r="H127" s="52">
        <v>3600</v>
      </c>
      <c r="I127" s="52">
        <v>46730</v>
      </c>
      <c r="J127" s="52">
        <f t="shared" si="3"/>
        <v>0</v>
      </c>
      <c r="K127" s="52"/>
      <c r="L127" s="52"/>
      <c r="M127" s="52"/>
      <c r="N127" s="52"/>
      <c r="O127" s="52">
        <v>13304</v>
      </c>
      <c r="P127" s="52">
        <v>24619</v>
      </c>
    </row>
    <row r="128" spans="1:16" s="53" customFormat="1" ht="12">
      <c r="A128" s="36">
        <v>121</v>
      </c>
      <c r="B128" s="35" t="s">
        <v>174</v>
      </c>
      <c r="C128" s="52">
        <f t="shared" si="2"/>
        <v>38952</v>
      </c>
      <c r="D128" s="52"/>
      <c r="E128" s="52">
        <v>3629</v>
      </c>
      <c r="F128" s="52">
        <v>910</v>
      </c>
      <c r="G128" s="52">
        <v>861</v>
      </c>
      <c r="H128" s="52">
        <v>1298</v>
      </c>
      <c r="I128" s="52">
        <v>12050</v>
      </c>
      <c r="J128" s="52">
        <f t="shared" si="3"/>
        <v>0</v>
      </c>
      <c r="K128" s="52"/>
      <c r="L128" s="52"/>
      <c r="M128" s="52"/>
      <c r="N128" s="52"/>
      <c r="O128" s="52">
        <v>4823</v>
      </c>
      <c r="P128" s="52">
        <v>15381</v>
      </c>
    </row>
    <row r="129" spans="1:16" s="53" customFormat="1" ht="12">
      <c r="A129" s="36">
        <v>122</v>
      </c>
      <c r="B129" s="35" t="s">
        <v>175</v>
      </c>
      <c r="C129" s="52">
        <f t="shared" si="2"/>
        <v>57028</v>
      </c>
      <c r="D129" s="52"/>
      <c r="E129" s="52">
        <v>5547</v>
      </c>
      <c r="F129" s="52">
        <v>1664</v>
      </c>
      <c r="G129" s="52">
        <v>701</v>
      </c>
      <c r="H129" s="52">
        <v>2096</v>
      </c>
      <c r="I129" s="52">
        <v>20050</v>
      </c>
      <c r="J129" s="52">
        <f t="shared" si="3"/>
        <v>0</v>
      </c>
      <c r="K129" s="52"/>
      <c r="L129" s="52"/>
      <c r="M129" s="52"/>
      <c r="N129" s="52"/>
      <c r="O129" s="52">
        <v>10280</v>
      </c>
      <c r="P129" s="52">
        <v>16690</v>
      </c>
    </row>
    <row r="130" spans="1:16" s="53" customFormat="1" ht="12">
      <c r="A130" s="36">
        <v>123</v>
      </c>
      <c r="B130" s="35" t="s">
        <v>176</v>
      </c>
      <c r="C130" s="52">
        <f t="shared" si="2"/>
        <v>100890</v>
      </c>
      <c r="D130" s="52"/>
      <c r="E130" s="52">
        <v>8852</v>
      </c>
      <c r="F130" s="52">
        <v>2213</v>
      </c>
      <c r="G130" s="52">
        <v>941</v>
      </c>
      <c r="H130" s="52">
        <v>3216</v>
      </c>
      <c r="I130" s="52">
        <v>53390</v>
      </c>
      <c r="J130" s="52">
        <f t="shared" si="3"/>
        <v>0</v>
      </c>
      <c r="K130" s="52"/>
      <c r="L130" s="52"/>
      <c r="M130" s="52"/>
      <c r="N130" s="52"/>
      <c r="O130" s="52">
        <v>6963</v>
      </c>
      <c r="P130" s="52">
        <v>25315</v>
      </c>
    </row>
    <row r="131" spans="1:16" s="53" customFormat="1" ht="12">
      <c r="A131" s="36">
        <v>124</v>
      </c>
      <c r="B131" s="35" t="s">
        <v>177</v>
      </c>
      <c r="C131" s="52">
        <f t="shared" si="2"/>
        <v>95836</v>
      </c>
      <c r="D131" s="52"/>
      <c r="E131" s="52">
        <v>7560</v>
      </c>
      <c r="F131" s="52">
        <v>2233</v>
      </c>
      <c r="G131" s="52">
        <v>440</v>
      </c>
      <c r="H131" s="52">
        <v>3383</v>
      </c>
      <c r="I131" s="52">
        <v>24628</v>
      </c>
      <c r="J131" s="52">
        <f t="shared" si="3"/>
        <v>0</v>
      </c>
      <c r="K131" s="52"/>
      <c r="L131" s="52"/>
      <c r="M131" s="52"/>
      <c r="N131" s="52"/>
      <c r="O131" s="52">
        <v>19565</v>
      </c>
      <c r="P131" s="52">
        <v>38027</v>
      </c>
    </row>
    <row r="132" spans="1:16" s="53" customFormat="1" ht="12">
      <c r="A132" s="36">
        <v>125</v>
      </c>
      <c r="B132" s="35" t="s">
        <v>178</v>
      </c>
      <c r="C132" s="52">
        <f t="shared" si="2"/>
        <v>56234</v>
      </c>
      <c r="D132" s="52"/>
      <c r="E132" s="52">
        <v>5340</v>
      </c>
      <c r="F132" s="52">
        <v>1391</v>
      </c>
      <c r="G132" s="52">
        <v>673</v>
      </c>
      <c r="H132" s="52">
        <v>1800</v>
      </c>
      <c r="I132" s="52">
        <v>22635</v>
      </c>
      <c r="J132" s="52">
        <f t="shared" si="3"/>
        <v>0</v>
      </c>
      <c r="K132" s="52"/>
      <c r="L132" s="52"/>
      <c r="M132" s="52"/>
      <c r="N132" s="52"/>
      <c r="O132" s="52">
        <v>6669</v>
      </c>
      <c r="P132" s="52">
        <v>17726</v>
      </c>
    </row>
    <row r="133" spans="1:16" s="53" customFormat="1" ht="12">
      <c r="A133" s="36">
        <v>126</v>
      </c>
      <c r="B133" s="35" t="s">
        <v>179</v>
      </c>
      <c r="C133" s="52">
        <f t="shared" si="2"/>
        <v>42549</v>
      </c>
      <c r="D133" s="52"/>
      <c r="E133" s="52">
        <v>3946</v>
      </c>
      <c r="F133" s="52">
        <v>1184</v>
      </c>
      <c r="G133" s="52">
        <v>1016</v>
      </c>
      <c r="H133" s="52">
        <v>1439</v>
      </c>
      <c r="I133" s="52">
        <v>18530</v>
      </c>
      <c r="J133" s="52">
        <f t="shared" si="3"/>
        <v>0</v>
      </c>
      <c r="K133" s="52"/>
      <c r="L133" s="52"/>
      <c r="M133" s="52"/>
      <c r="N133" s="52"/>
      <c r="O133" s="52">
        <v>9981</v>
      </c>
      <c r="P133" s="52">
        <v>6453</v>
      </c>
    </row>
    <row r="134" spans="1:16" s="53" customFormat="1" ht="12">
      <c r="A134" s="36">
        <v>127</v>
      </c>
      <c r="B134" s="35" t="s">
        <v>180</v>
      </c>
      <c r="C134" s="52">
        <f t="shared" si="2"/>
        <v>60501</v>
      </c>
      <c r="D134" s="52"/>
      <c r="E134" s="52">
        <v>5792</v>
      </c>
      <c r="F134" s="52">
        <v>1621</v>
      </c>
      <c r="G134" s="52">
        <v>771</v>
      </c>
      <c r="H134" s="52">
        <v>2155</v>
      </c>
      <c r="I134" s="52">
        <v>25736</v>
      </c>
      <c r="J134" s="52">
        <f t="shared" si="3"/>
        <v>0</v>
      </c>
      <c r="K134" s="52"/>
      <c r="L134" s="52"/>
      <c r="M134" s="52"/>
      <c r="N134" s="52"/>
      <c r="O134" s="52">
        <v>7759</v>
      </c>
      <c r="P134" s="52">
        <v>16667</v>
      </c>
    </row>
    <row r="135" spans="1:16" s="53" customFormat="1" ht="12">
      <c r="A135" s="36">
        <v>128</v>
      </c>
      <c r="B135" s="35" t="s">
        <v>181</v>
      </c>
      <c r="C135" s="52">
        <f t="shared" si="2"/>
        <v>102953</v>
      </c>
      <c r="D135" s="52"/>
      <c r="E135" s="52">
        <v>9475</v>
      </c>
      <c r="F135" s="52">
        <v>2370</v>
      </c>
      <c r="G135" s="52">
        <v>671</v>
      </c>
      <c r="H135" s="52">
        <v>3670</v>
      </c>
      <c r="I135" s="52">
        <v>42384</v>
      </c>
      <c r="J135" s="52">
        <f t="shared" si="3"/>
        <v>0</v>
      </c>
      <c r="K135" s="52"/>
      <c r="L135" s="52"/>
      <c r="M135" s="52"/>
      <c r="N135" s="52"/>
      <c r="O135" s="52">
        <v>17916</v>
      </c>
      <c r="P135" s="52">
        <v>26467</v>
      </c>
    </row>
    <row r="136" spans="1:16" s="53" customFormat="1" ht="12">
      <c r="A136" s="36">
        <v>129</v>
      </c>
      <c r="B136" s="35" t="s">
        <v>182</v>
      </c>
      <c r="C136" s="52">
        <f t="shared" si="2"/>
        <v>48527</v>
      </c>
      <c r="D136" s="52"/>
      <c r="E136" s="52">
        <v>4500</v>
      </c>
      <c r="F136" s="52">
        <v>1125</v>
      </c>
      <c r="G136" s="52">
        <v>925</v>
      </c>
      <c r="H136" s="52">
        <v>1709</v>
      </c>
      <c r="I136" s="52">
        <v>18347</v>
      </c>
      <c r="J136" s="52">
        <f t="shared" si="3"/>
        <v>0</v>
      </c>
      <c r="K136" s="52"/>
      <c r="L136" s="52"/>
      <c r="M136" s="52"/>
      <c r="N136" s="52"/>
      <c r="O136" s="52">
        <v>5977</v>
      </c>
      <c r="P136" s="52">
        <v>15944</v>
      </c>
    </row>
    <row r="137" spans="1:16" s="53" customFormat="1" ht="12" customHeight="1">
      <c r="A137" s="36">
        <v>130</v>
      </c>
      <c r="B137" s="37" t="s">
        <v>183</v>
      </c>
      <c r="C137" s="52">
        <f t="shared" ref="C137:C165" si="4">D137+E137+F137+G137+H137+I137+J137+M137+N137+O137+P137</f>
        <v>200</v>
      </c>
      <c r="D137" s="52"/>
      <c r="E137" s="52"/>
      <c r="F137" s="52"/>
      <c r="G137" s="52"/>
      <c r="H137" s="52"/>
      <c r="I137" s="52"/>
      <c r="J137" s="52">
        <f t="shared" si="3"/>
        <v>0</v>
      </c>
      <c r="K137" s="52"/>
      <c r="L137" s="52"/>
      <c r="M137" s="52"/>
      <c r="N137" s="52">
        <v>200</v>
      </c>
      <c r="O137" s="52"/>
      <c r="P137" s="52"/>
    </row>
    <row r="138" spans="1:16" s="53" customFormat="1" ht="36">
      <c r="A138" s="36">
        <v>131</v>
      </c>
      <c r="B138" s="37" t="s">
        <v>184</v>
      </c>
      <c r="C138" s="52">
        <f t="shared" si="4"/>
        <v>32314</v>
      </c>
      <c r="D138" s="52"/>
      <c r="E138" s="52">
        <v>7024</v>
      </c>
      <c r="F138" s="52">
        <v>2077</v>
      </c>
      <c r="G138" s="52"/>
      <c r="H138" s="52">
        <v>1200</v>
      </c>
      <c r="I138" s="52"/>
      <c r="J138" s="52">
        <f t="shared" si="3"/>
        <v>3172</v>
      </c>
      <c r="K138" s="52">
        <f>2635-732</f>
        <v>1903</v>
      </c>
      <c r="L138" s="52">
        <f>1757-488</f>
        <v>1269</v>
      </c>
      <c r="M138" s="52"/>
      <c r="N138" s="52"/>
      <c r="O138" s="52">
        <v>3159</v>
      </c>
      <c r="P138" s="52">
        <v>15682</v>
      </c>
    </row>
    <row r="139" spans="1:16" s="53" customFormat="1" ht="12">
      <c r="A139" s="36">
        <v>132</v>
      </c>
      <c r="B139" s="35" t="s">
        <v>185</v>
      </c>
      <c r="C139" s="52">
        <f t="shared" si="4"/>
        <v>14666</v>
      </c>
      <c r="D139" s="52"/>
      <c r="E139" s="52">
        <v>1130</v>
      </c>
      <c r="F139" s="52"/>
      <c r="G139" s="52"/>
      <c r="H139" s="52">
        <v>50</v>
      </c>
      <c r="I139" s="52"/>
      <c r="J139" s="52">
        <f t="shared" si="3"/>
        <v>0</v>
      </c>
      <c r="K139" s="52"/>
      <c r="L139" s="52"/>
      <c r="M139" s="52">
        <v>5787</v>
      </c>
      <c r="N139" s="52"/>
      <c r="O139" s="52">
        <v>446</v>
      </c>
      <c r="P139" s="52">
        <v>7253</v>
      </c>
    </row>
    <row r="140" spans="1:16" s="53" customFormat="1" ht="24">
      <c r="A140" s="36">
        <v>133</v>
      </c>
      <c r="B140" s="37" t="s">
        <v>186</v>
      </c>
      <c r="C140" s="52">
        <f t="shared" si="4"/>
        <v>3000</v>
      </c>
      <c r="D140" s="52"/>
      <c r="E140" s="52"/>
      <c r="F140" s="52"/>
      <c r="G140" s="52"/>
      <c r="H140" s="52"/>
      <c r="I140" s="52"/>
      <c r="J140" s="52">
        <f t="shared" si="3"/>
        <v>0</v>
      </c>
      <c r="K140" s="52"/>
      <c r="L140" s="52"/>
      <c r="M140" s="52"/>
      <c r="N140" s="52">
        <v>3000</v>
      </c>
      <c r="O140" s="52"/>
      <c r="P140" s="52"/>
    </row>
    <row r="141" spans="1:16" s="53" customFormat="1" ht="12">
      <c r="A141" s="36">
        <v>134</v>
      </c>
      <c r="B141" s="35" t="s">
        <v>187</v>
      </c>
      <c r="C141" s="52">
        <f t="shared" si="4"/>
        <v>6252</v>
      </c>
      <c r="D141" s="52"/>
      <c r="E141" s="52">
        <v>1600</v>
      </c>
      <c r="F141" s="52"/>
      <c r="G141" s="52"/>
      <c r="H141" s="52">
        <v>1000</v>
      </c>
      <c r="I141" s="52"/>
      <c r="J141" s="52">
        <f t="shared" si="3"/>
        <v>0</v>
      </c>
      <c r="K141" s="52"/>
      <c r="L141" s="52"/>
      <c r="M141" s="52"/>
      <c r="N141" s="52"/>
      <c r="O141" s="52">
        <v>800</v>
      </c>
      <c r="P141" s="52">
        <v>2852</v>
      </c>
    </row>
    <row r="142" spans="1:16" s="53" customFormat="1" ht="12.75" customHeight="1">
      <c r="A142" s="36">
        <v>135</v>
      </c>
      <c r="B142" s="37" t="s">
        <v>188</v>
      </c>
      <c r="C142" s="52">
        <f t="shared" si="4"/>
        <v>8000</v>
      </c>
      <c r="D142" s="52"/>
      <c r="E142" s="52"/>
      <c r="F142" s="52"/>
      <c r="G142" s="52"/>
      <c r="H142" s="52"/>
      <c r="I142" s="52"/>
      <c r="J142" s="52">
        <f t="shared" si="3"/>
        <v>0</v>
      </c>
      <c r="K142" s="52"/>
      <c r="L142" s="52"/>
      <c r="M142" s="52"/>
      <c r="N142" s="52">
        <v>8000</v>
      </c>
      <c r="O142" s="52"/>
      <c r="P142" s="52"/>
    </row>
    <row r="143" spans="1:16" s="53" customFormat="1" ht="12">
      <c r="A143" s="36">
        <v>136</v>
      </c>
      <c r="B143" s="35" t="s">
        <v>189</v>
      </c>
      <c r="C143" s="52">
        <f t="shared" si="4"/>
        <v>200</v>
      </c>
      <c r="D143" s="52"/>
      <c r="E143" s="52"/>
      <c r="F143" s="52"/>
      <c r="G143" s="52"/>
      <c r="H143" s="52"/>
      <c r="I143" s="52"/>
      <c r="J143" s="52">
        <f t="shared" si="3"/>
        <v>0</v>
      </c>
      <c r="K143" s="52"/>
      <c r="L143" s="52"/>
      <c r="M143" s="52"/>
      <c r="N143" s="52">
        <v>200</v>
      </c>
      <c r="O143" s="52"/>
      <c r="P143" s="52"/>
    </row>
    <row r="144" spans="1:16" s="53" customFormat="1" ht="12">
      <c r="A144" s="36">
        <v>137</v>
      </c>
      <c r="B144" s="35" t="s">
        <v>190</v>
      </c>
      <c r="C144" s="52">
        <f t="shared" si="4"/>
        <v>200</v>
      </c>
      <c r="D144" s="52"/>
      <c r="E144" s="52"/>
      <c r="F144" s="52"/>
      <c r="G144" s="52"/>
      <c r="H144" s="52"/>
      <c r="I144" s="52"/>
      <c r="J144" s="52">
        <f t="shared" si="3"/>
        <v>0</v>
      </c>
      <c r="K144" s="52"/>
      <c r="L144" s="52"/>
      <c r="M144" s="52"/>
      <c r="N144" s="52">
        <v>200</v>
      </c>
      <c r="O144" s="52"/>
      <c r="P144" s="52"/>
    </row>
    <row r="145" spans="1:16" s="53" customFormat="1" ht="12">
      <c r="A145" s="36">
        <v>138</v>
      </c>
      <c r="B145" s="35" t="s">
        <v>191</v>
      </c>
      <c r="C145" s="52">
        <f t="shared" si="4"/>
        <v>200</v>
      </c>
      <c r="D145" s="52"/>
      <c r="E145" s="52"/>
      <c r="F145" s="52"/>
      <c r="G145" s="52"/>
      <c r="H145" s="52"/>
      <c r="I145" s="52"/>
      <c r="J145" s="52">
        <f t="shared" si="3"/>
        <v>0</v>
      </c>
      <c r="K145" s="52"/>
      <c r="L145" s="52"/>
      <c r="M145" s="52"/>
      <c r="N145" s="52">
        <v>200</v>
      </c>
      <c r="O145" s="52"/>
      <c r="P145" s="52"/>
    </row>
    <row r="146" spans="1:16" s="53" customFormat="1" ht="12">
      <c r="A146" s="36">
        <v>139</v>
      </c>
      <c r="B146" s="35" t="s">
        <v>192</v>
      </c>
      <c r="C146" s="52">
        <f t="shared" si="4"/>
        <v>200</v>
      </c>
      <c r="D146" s="52"/>
      <c r="E146" s="52"/>
      <c r="F146" s="52"/>
      <c r="G146" s="52"/>
      <c r="H146" s="52"/>
      <c r="I146" s="52"/>
      <c r="J146" s="52">
        <f t="shared" si="3"/>
        <v>0</v>
      </c>
      <c r="K146" s="52"/>
      <c r="L146" s="52"/>
      <c r="M146" s="52"/>
      <c r="N146" s="52">
        <v>200</v>
      </c>
      <c r="O146" s="52"/>
      <c r="P146" s="52"/>
    </row>
    <row r="147" spans="1:16" s="53" customFormat="1" ht="12">
      <c r="A147" s="36">
        <v>140</v>
      </c>
      <c r="B147" s="35" t="s">
        <v>193</v>
      </c>
      <c r="C147" s="52">
        <f t="shared" si="4"/>
        <v>0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>
        <f>200-200</f>
        <v>0</v>
      </c>
      <c r="O147" s="52"/>
      <c r="P147" s="52"/>
    </row>
    <row r="148" spans="1:16" s="53" customFormat="1" ht="12">
      <c r="A148" s="36">
        <v>141</v>
      </c>
      <c r="B148" s="42" t="s">
        <v>194</v>
      </c>
      <c r="C148" s="52">
        <f t="shared" si="4"/>
        <v>400</v>
      </c>
      <c r="D148" s="52"/>
      <c r="E148" s="52"/>
      <c r="F148" s="52"/>
      <c r="G148" s="52"/>
      <c r="H148" s="52"/>
      <c r="I148" s="52"/>
      <c r="J148" s="52">
        <f t="shared" si="3"/>
        <v>0</v>
      </c>
      <c r="K148" s="52"/>
      <c r="L148" s="52"/>
      <c r="M148" s="52"/>
      <c r="N148" s="52">
        <v>400</v>
      </c>
      <c r="O148" s="52"/>
      <c r="P148" s="52"/>
    </row>
    <row r="149" spans="1:16" s="53" customFormat="1" ht="12">
      <c r="A149" s="36">
        <v>142</v>
      </c>
      <c r="B149" s="35" t="s">
        <v>195</v>
      </c>
      <c r="C149" s="52">
        <f t="shared" si="4"/>
        <v>120</v>
      </c>
      <c r="D149" s="52"/>
      <c r="E149" s="52"/>
      <c r="F149" s="52"/>
      <c r="G149" s="52"/>
      <c r="H149" s="52"/>
      <c r="I149" s="52"/>
      <c r="J149" s="52">
        <f t="shared" si="3"/>
        <v>0</v>
      </c>
      <c r="K149" s="52"/>
      <c r="L149" s="52"/>
      <c r="M149" s="52"/>
      <c r="N149" s="52">
        <v>120</v>
      </c>
      <c r="O149" s="52"/>
      <c r="P149" s="52"/>
    </row>
    <row r="150" spans="1:16" s="53" customFormat="1" ht="12">
      <c r="A150" s="36">
        <v>143</v>
      </c>
      <c r="B150" s="35" t="s">
        <v>196</v>
      </c>
      <c r="C150" s="52">
        <f t="shared" si="4"/>
        <v>200</v>
      </c>
      <c r="D150" s="52"/>
      <c r="E150" s="52"/>
      <c r="F150" s="52"/>
      <c r="G150" s="52"/>
      <c r="H150" s="52"/>
      <c r="I150" s="52"/>
      <c r="J150" s="52">
        <f t="shared" si="3"/>
        <v>0</v>
      </c>
      <c r="K150" s="52"/>
      <c r="L150" s="52"/>
      <c r="M150" s="52"/>
      <c r="N150" s="52">
        <v>200</v>
      </c>
      <c r="O150" s="52"/>
      <c r="P150" s="52"/>
    </row>
    <row r="151" spans="1:16" s="53" customFormat="1" ht="12">
      <c r="A151" s="36">
        <v>144</v>
      </c>
      <c r="B151" s="35" t="s">
        <v>197</v>
      </c>
      <c r="C151" s="52">
        <f t="shared" si="4"/>
        <v>220680</v>
      </c>
      <c r="D151" s="52"/>
      <c r="E151" s="52"/>
      <c r="F151" s="52"/>
      <c r="G151" s="52"/>
      <c r="H151" s="52"/>
      <c r="I151" s="52"/>
      <c r="J151" s="52">
        <f t="shared" si="3"/>
        <v>0</v>
      </c>
      <c r="K151" s="52"/>
      <c r="L151" s="52"/>
      <c r="M151" s="52">
        <f>220000+680</f>
        <v>220680</v>
      </c>
      <c r="N151" s="52"/>
      <c r="O151" s="52"/>
      <c r="P151" s="52"/>
    </row>
    <row r="152" spans="1:16" s="53" customFormat="1" ht="12">
      <c r="A152" s="36">
        <v>145</v>
      </c>
      <c r="B152" s="35" t="s">
        <v>198</v>
      </c>
      <c r="C152" s="52">
        <f t="shared" si="4"/>
        <v>119000</v>
      </c>
      <c r="D152" s="52"/>
      <c r="E152" s="52"/>
      <c r="F152" s="52"/>
      <c r="G152" s="52"/>
      <c r="H152" s="52"/>
      <c r="I152" s="52"/>
      <c r="J152" s="52">
        <f t="shared" si="3"/>
        <v>0</v>
      </c>
      <c r="K152" s="52"/>
      <c r="L152" s="52"/>
      <c r="M152" s="52">
        <v>119000</v>
      </c>
      <c r="N152" s="52"/>
      <c r="O152" s="52"/>
      <c r="P152" s="52"/>
    </row>
    <row r="153" spans="1:16" s="53" customFormat="1" ht="12">
      <c r="A153" s="36">
        <v>146</v>
      </c>
      <c r="B153" s="35" t="s">
        <v>11</v>
      </c>
      <c r="C153" s="52">
        <f t="shared" si="4"/>
        <v>73000</v>
      </c>
      <c r="D153" s="52"/>
      <c r="E153" s="52"/>
      <c r="F153" s="52"/>
      <c r="G153" s="52"/>
      <c r="H153" s="52"/>
      <c r="I153" s="52"/>
      <c r="J153" s="52">
        <f t="shared" si="3"/>
        <v>0</v>
      </c>
      <c r="K153" s="52"/>
      <c r="L153" s="52"/>
      <c r="M153" s="52">
        <v>73000</v>
      </c>
      <c r="N153" s="52"/>
      <c r="O153" s="52"/>
      <c r="P153" s="52"/>
    </row>
    <row r="154" spans="1:16" s="53" customFormat="1" ht="12">
      <c r="A154" s="36">
        <v>147</v>
      </c>
      <c r="B154" s="35" t="s">
        <v>199</v>
      </c>
      <c r="C154" s="52">
        <f t="shared" si="4"/>
        <v>2000</v>
      </c>
      <c r="D154" s="52"/>
      <c r="E154" s="52"/>
      <c r="F154" s="52"/>
      <c r="G154" s="52"/>
      <c r="H154" s="52"/>
      <c r="I154" s="52"/>
      <c r="J154" s="52">
        <f t="shared" si="3"/>
        <v>0</v>
      </c>
      <c r="K154" s="52"/>
      <c r="L154" s="52"/>
      <c r="M154" s="52">
        <v>2000</v>
      </c>
      <c r="N154" s="52"/>
      <c r="O154" s="52"/>
      <c r="P154" s="52"/>
    </row>
    <row r="155" spans="1:16" s="53" customFormat="1" ht="12">
      <c r="A155" s="36">
        <v>148</v>
      </c>
      <c r="B155" s="35" t="s">
        <v>200</v>
      </c>
      <c r="C155" s="52">
        <f t="shared" si="4"/>
        <v>6500</v>
      </c>
      <c r="D155" s="52"/>
      <c r="E155" s="52"/>
      <c r="F155" s="52"/>
      <c r="G155" s="52"/>
      <c r="H155" s="52"/>
      <c r="I155" s="52"/>
      <c r="J155" s="52">
        <f t="shared" si="3"/>
        <v>0</v>
      </c>
      <c r="K155" s="52"/>
      <c r="L155" s="52"/>
      <c r="M155" s="52">
        <v>6500</v>
      </c>
      <c r="N155" s="52"/>
      <c r="O155" s="52"/>
      <c r="P155" s="52"/>
    </row>
    <row r="156" spans="1:16" s="53" customFormat="1" ht="12">
      <c r="A156" s="36">
        <v>149</v>
      </c>
      <c r="B156" s="35" t="s">
        <v>201</v>
      </c>
      <c r="C156" s="52">
        <f t="shared" si="4"/>
        <v>56502</v>
      </c>
      <c r="D156" s="52"/>
      <c r="E156" s="52"/>
      <c r="F156" s="52"/>
      <c r="G156" s="52"/>
      <c r="H156" s="52"/>
      <c r="I156" s="52"/>
      <c r="J156" s="52">
        <f t="shared" si="3"/>
        <v>0</v>
      </c>
      <c r="K156" s="52"/>
      <c r="L156" s="52"/>
      <c r="M156" s="52">
        <v>56502</v>
      </c>
      <c r="N156" s="52"/>
      <c r="O156" s="52"/>
      <c r="P156" s="52"/>
    </row>
    <row r="157" spans="1:16" s="53" customFormat="1" ht="12">
      <c r="A157" s="36">
        <v>150</v>
      </c>
      <c r="B157" s="35" t="s">
        <v>202</v>
      </c>
      <c r="C157" s="52">
        <f t="shared" si="4"/>
        <v>110680</v>
      </c>
      <c r="D157" s="52"/>
      <c r="E157" s="52"/>
      <c r="F157" s="52"/>
      <c r="G157" s="52"/>
      <c r="H157" s="52"/>
      <c r="I157" s="52"/>
      <c r="J157" s="52">
        <f t="shared" si="3"/>
        <v>0</v>
      </c>
      <c r="K157" s="52"/>
      <c r="L157" s="52"/>
      <c r="M157" s="52">
        <f>110000+680</f>
        <v>110680</v>
      </c>
      <c r="N157" s="52"/>
      <c r="O157" s="52"/>
      <c r="P157" s="52"/>
    </row>
    <row r="158" spans="1:16" s="53" customFormat="1" ht="12">
      <c r="A158" s="36">
        <v>151</v>
      </c>
      <c r="B158" s="35" t="s">
        <v>203</v>
      </c>
      <c r="C158" s="52">
        <f t="shared" si="4"/>
        <v>45075</v>
      </c>
      <c r="D158" s="52"/>
      <c r="E158" s="52"/>
      <c r="F158" s="52"/>
      <c r="G158" s="52"/>
      <c r="H158" s="52"/>
      <c r="I158" s="52"/>
      <c r="J158" s="52">
        <f t="shared" si="3"/>
        <v>0</v>
      </c>
      <c r="K158" s="52"/>
      <c r="L158" s="52"/>
      <c r="M158" s="52">
        <f>65500-65500</f>
        <v>0</v>
      </c>
      <c r="N158" s="52">
        <v>45075</v>
      </c>
      <c r="O158" s="52"/>
      <c r="P158" s="52"/>
    </row>
    <row r="159" spans="1:16" s="53" customFormat="1" ht="12">
      <c r="A159" s="36">
        <v>152</v>
      </c>
      <c r="B159" s="35" t="s">
        <v>204</v>
      </c>
      <c r="C159" s="52">
        <f t="shared" si="4"/>
        <v>65500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>
        <v>65500</v>
      </c>
      <c r="N159" s="52"/>
      <c r="O159" s="52"/>
      <c r="P159" s="52"/>
    </row>
    <row r="160" spans="1:16" s="53" customFormat="1" ht="12">
      <c r="A160" s="36">
        <v>153</v>
      </c>
      <c r="B160" s="35" t="s">
        <v>205</v>
      </c>
      <c r="C160" s="52">
        <f t="shared" si="4"/>
        <v>19781</v>
      </c>
      <c r="D160" s="52">
        <v>19781</v>
      </c>
      <c r="E160" s="52"/>
      <c r="F160" s="52"/>
      <c r="G160" s="52"/>
      <c r="H160" s="52"/>
      <c r="I160" s="52"/>
      <c r="J160" s="52">
        <f t="shared" si="3"/>
        <v>0</v>
      </c>
      <c r="K160" s="52"/>
      <c r="L160" s="52"/>
      <c r="M160" s="52"/>
      <c r="N160" s="52"/>
      <c r="O160" s="52"/>
      <c r="P160" s="52"/>
    </row>
    <row r="161" spans="1:16" s="53" customFormat="1" ht="12">
      <c r="A161" s="36">
        <v>154</v>
      </c>
      <c r="B161" s="35" t="s">
        <v>10</v>
      </c>
      <c r="C161" s="52">
        <f t="shared" si="4"/>
        <v>57392</v>
      </c>
      <c r="D161" s="52"/>
      <c r="E161" s="52"/>
      <c r="F161" s="52"/>
      <c r="G161" s="52"/>
      <c r="H161" s="52"/>
      <c r="I161" s="52"/>
      <c r="J161" s="52">
        <f t="shared" si="3"/>
        <v>4392</v>
      </c>
      <c r="K161" s="52">
        <v>3075</v>
      </c>
      <c r="L161" s="52">
        <v>1317</v>
      </c>
      <c r="M161" s="52">
        <v>53000</v>
      </c>
      <c r="N161" s="52"/>
      <c r="O161" s="52"/>
      <c r="P161" s="52"/>
    </row>
    <row r="162" spans="1:16" s="53" customFormat="1" ht="12">
      <c r="A162" s="36">
        <v>155</v>
      </c>
      <c r="B162" s="35" t="s">
        <v>1</v>
      </c>
      <c r="C162" s="52">
        <f t="shared" si="4"/>
        <v>1800</v>
      </c>
      <c r="D162" s="52"/>
      <c r="E162" s="52"/>
      <c r="F162" s="52"/>
      <c r="G162" s="52"/>
      <c r="H162" s="52"/>
      <c r="I162" s="52"/>
      <c r="J162" s="52">
        <f t="shared" si="3"/>
        <v>0</v>
      </c>
      <c r="K162" s="52"/>
      <c r="L162" s="52"/>
      <c r="M162" s="52">
        <v>1800</v>
      </c>
      <c r="N162" s="52"/>
      <c r="O162" s="52"/>
      <c r="P162" s="52"/>
    </row>
    <row r="163" spans="1:16" s="53" customFormat="1" ht="12">
      <c r="A163" s="36">
        <v>156</v>
      </c>
      <c r="B163" s="35" t="s">
        <v>206</v>
      </c>
      <c r="C163" s="52">
        <f t="shared" si="4"/>
        <v>55316</v>
      </c>
      <c r="D163" s="52"/>
      <c r="E163" s="52">
        <v>6525</v>
      </c>
      <c r="F163" s="52">
        <v>1952</v>
      </c>
      <c r="G163" s="52">
        <v>0</v>
      </c>
      <c r="H163" s="52">
        <v>4367</v>
      </c>
      <c r="I163" s="52">
        <v>0</v>
      </c>
      <c r="J163" s="52">
        <f t="shared" si="3"/>
        <v>0</v>
      </c>
      <c r="K163" s="52"/>
      <c r="L163" s="52"/>
      <c r="M163" s="52">
        <v>1400</v>
      </c>
      <c r="N163" s="52"/>
      <c r="O163" s="52">
        <v>22965</v>
      </c>
      <c r="P163" s="52">
        <v>18107</v>
      </c>
    </row>
    <row r="164" spans="1:16" s="55" customFormat="1" ht="24" customHeight="1">
      <c r="A164" s="36">
        <v>157</v>
      </c>
      <c r="B164" s="56" t="s">
        <v>207</v>
      </c>
      <c r="C164" s="52">
        <f t="shared" si="4"/>
        <v>128884</v>
      </c>
      <c r="D164" s="54"/>
      <c r="E164" s="54">
        <v>10839</v>
      </c>
      <c r="F164" s="54">
        <v>3250</v>
      </c>
      <c r="G164" s="54">
        <v>1477</v>
      </c>
      <c r="H164" s="54">
        <v>4391</v>
      </c>
      <c r="I164" s="54">
        <v>75078</v>
      </c>
      <c r="J164" s="54"/>
      <c r="K164" s="54"/>
      <c r="L164" s="54"/>
      <c r="M164" s="54"/>
      <c r="N164" s="54"/>
      <c r="O164" s="54">
        <v>8836</v>
      </c>
      <c r="P164" s="54">
        <v>25013</v>
      </c>
    </row>
    <row r="165" spans="1:16" s="53" customFormat="1" ht="12">
      <c r="A165" s="36">
        <v>158</v>
      </c>
      <c r="B165" s="35" t="s">
        <v>208</v>
      </c>
      <c r="C165" s="52">
        <f t="shared" si="4"/>
        <v>3000</v>
      </c>
      <c r="D165" s="52"/>
      <c r="E165" s="52"/>
      <c r="F165" s="52"/>
      <c r="G165" s="52"/>
      <c r="H165" s="52"/>
      <c r="I165" s="52"/>
      <c r="J165" s="52">
        <f t="shared" si="3"/>
        <v>0</v>
      </c>
      <c r="K165" s="52"/>
      <c r="L165" s="52"/>
      <c r="M165" s="52">
        <v>3000</v>
      </c>
      <c r="N165" s="52"/>
      <c r="O165" s="52"/>
      <c r="P165" s="52"/>
    </row>
    <row r="166" spans="1:16" s="53" customFormat="1" ht="12">
      <c r="A166" s="42"/>
      <c r="B166" s="35" t="s">
        <v>209</v>
      </c>
      <c r="C166" s="52">
        <v>326248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</row>
    <row r="167" spans="1:16" s="58" customFormat="1" ht="12">
      <c r="A167" s="46"/>
      <c r="B167" s="57" t="s">
        <v>13</v>
      </c>
      <c r="C167" s="46">
        <f t="shared" ref="C167:P167" si="5">SUM(C7:C165)+C166</f>
        <v>9540535</v>
      </c>
      <c r="D167" s="46">
        <f t="shared" si="5"/>
        <v>405980</v>
      </c>
      <c r="E167" s="46">
        <f t="shared" si="5"/>
        <v>722336</v>
      </c>
      <c r="F167" s="46">
        <f t="shared" si="5"/>
        <v>208563</v>
      </c>
      <c r="G167" s="46">
        <f t="shared" si="5"/>
        <v>109014</v>
      </c>
      <c r="H167" s="46">
        <f t="shared" si="5"/>
        <v>316828</v>
      </c>
      <c r="I167" s="46">
        <f t="shared" si="5"/>
        <v>3621643</v>
      </c>
      <c r="J167" s="46">
        <f t="shared" si="5"/>
        <v>48312</v>
      </c>
      <c r="K167" s="46">
        <f t="shared" si="5"/>
        <v>32668</v>
      </c>
      <c r="L167" s="46">
        <f t="shared" si="5"/>
        <v>15644</v>
      </c>
      <c r="M167" s="46">
        <f t="shared" si="5"/>
        <v>720249</v>
      </c>
      <c r="N167" s="46">
        <f t="shared" si="5"/>
        <v>242006</v>
      </c>
      <c r="O167" s="46">
        <f t="shared" si="5"/>
        <v>1011566</v>
      </c>
      <c r="P167" s="46">
        <f t="shared" si="5"/>
        <v>1807790</v>
      </c>
    </row>
  </sheetData>
  <mergeCells count="15">
    <mergeCell ref="A1:P2"/>
    <mergeCell ref="A3:A5"/>
    <mergeCell ref="B3:B5"/>
    <mergeCell ref="C3:C5"/>
    <mergeCell ref="D3:P3"/>
    <mergeCell ref="D4:D5"/>
    <mergeCell ref="E4:F4"/>
    <mergeCell ref="G4:G5"/>
    <mergeCell ref="H4:H5"/>
    <mergeCell ref="I4:I5"/>
    <mergeCell ref="J4:J5"/>
    <mergeCell ref="K4:L4"/>
    <mergeCell ref="M4:M5"/>
    <mergeCell ref="N4:N5"/>
    <mergeCell ref="O4:P4"/>
  </mergeCells>
  <pageMargins left="0" right="0" top="0.59055118110236227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zoomScale="90" zoomScaleNormal="90" workbookViewId="0">
      <pane xSplit="2" ySplit="6" topLeftCell="C100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RowHeight="15"/>
  <cols>
    <col min="1" max="1" width="5.42578125" style="77" customWidth="1"/>
    <col min="2" max="2" width="52.7109375" style="77" customWidth="1"/>
    <col min="3" max="3" width="15.42578125" style="77" customWidth="1"/>
    <col min="4" max="4" width="13.140625" style="77" customWidth="1"/>
    <col min="5" max="5" width="12.5703125" style="79" customWidth="1"/>
    <col min="6" max="6" width="14.140625" style="79" customWidth="1"/>
    <col min="7" max="7" width="14.28515625" style="79" customWidth="1"/>
    <col min="8" max="16384" width="9.140625" style="77"/>
  </cols>
  <sheetData>
    <row r="1" spans="1:7" ht="56.25" customHeight="1">
      <c r="A1" s="139" t="s">
        <v>315</v>
      </c>
      <c r="B1" s="140"/>
      <c r="C1" s="140"/>
      <c r="D1" s="140"/>
      <c r="E1" s="140"/>
      <c r="F1" s="140"/>
      <c r="G1" s="140"/>
    </row>
    <row r="2" spans="1:7" ht="18.75">
      <c r="A2" s="78"/>
    </row>
    <row r="3" spans="1:7" ht="18.75" customHeight="1">
      <c r="A3" s="78"/>
      <c r="E3" s="141" t="s">
        <v>239</v>
      </c>
      <c r="F3" s="141"/>
      <c r="G3" s="141"/>
    </row>
    <row r="4" spans="1:7" s="80" customFormat="1" ht="17.25" customHeight="1">
      <c r="A4" s="142" t="s">
        <v>36</v>
      </c>
      <c r="B4" s="142" t="s">
        <v>211</v>
      </c>
      <c r="C4" s="142" t="s">
        <v>240</v>
      </c>
      <c r="D4" s="144" t="s">
        <v>39</v>
      </c>
      <c r="E4" s="144"/>
      <c r="F4" s="144"/>
      <c r="G4" s="144"/>
    </row>
    <row r="5" spans="1:7" s="82" customFormat="1" ht="66.75" customHeight="1">
      <c r="A5" s="143"/>
      <c r="B5" s="143"/>
      <c r="C5" s="143"/>
      <c r="D5" s="81" t="s">
        <v>241</v>
      </c>
      <c r="E5" s="69" t="s">
        <v>242</v>
      </c>
      <c r="F5" s="69" t="s">
        <v>243</v>
      </c>
      <c r="G5" s="69" t="s">
        <v>244</v>
      </c>
    </row>
    <row r="6" spans="1:7" s="84" customFormat="1" ht="15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</row>
    <row r="7" spans="1:7" s="84" customFormat="1" ht="15.75">
      <c r="A7" s="85">
        <v>1</v>
      </c>
      <c r="B7" s="86" t="s">
        <v>55</v>
      </c>
      <c r="C7" s="87">
        <f>D7+E7+G7</f>
        <v>14282</v>
      </c>
      <c r="D7" s="85"/>
      <c r="E7" s="87">
        <v>14282</v>
      </c>
      <c r="F7" s="87"/>
      <c r="G7" s="87"/>
    </row>
    <row r="8" spans="1:7" s="84" customFormat="1" ht="15.75">
      <c r="A8" s="85">
        <v>2</v>
      </c>
      <c r="B8" s="86" t="s">
        <v>56</v>
      </c>
      <c r="C8" s="87">
        <f t="shared" ref="C8:C72" si="0">D8+E8+G8</f>
        <v>4505</v>
      </c>
      <c r="D8" s="85"/>
      <c r="E8" s="87">
        <v>4505</v>
      </c>
      <c r="F8" s="87"/>
      <c r="G8" s="87"/>
    </row>
    <row r="9" spans="1:7" s="84" customFormat="1" ht="15.75">
      <c r="A9" s="85">
        <v>3</v>
      </c>
      <c r="B9" s="86" t="s">
        <v>57</v>
      </c>
      <c r="C9" s="87">
        <f t="shared" si="0"/>
        <v>2456</v>
      </c>
      <c r="D9" s="85"/>
      <c r="E9" s="87">
        <v>2456</v>
      </c>
      <c r="F9" s="87"/>
      <c r="G9" s="87"/>
    </row>
    <row r="10" spans="1:7" s="84" customFormat="1" ht="15.75">
      <c r="A10" s="85">
        <v>4</v>
      </c>
      <c r="B10" s="86" t="s">
        <v>58</v>
      </c>
      <c r="C10" s="87">
        <f t="shared" si="0"/>
        <v>1706</v>
      </c>
      <c r="D10" s="85"/>
      <c r="E10" s="87">
        <v>1706</v>
      </c>
      <c r="F10" s="87"/>
      <c r="G10" s="87"/>
    </row>
    <row r="11" spans="1:7" s="84" customFormat="1" ht="15.75">
      <c r="A11" s="85">
        <v>5</v>
      </c>
      <c r="B11" s="86" t="s">
        <v>59</v>
      </c>
      <c r="C11" s="87">
        <f t="shared" si="0"/>
        <v>3252</v>
      </c>
      <c r="D11" s="85"/>
      <c r="E11" s="87">
        <v>3252</v>
      </c>
      <c r="F11" s="87"/>
      <c r="G11" s="87"/>
    </row>
    <row r="12" spans="1:7" s="84" customFormat="1" ht="15.75">
      <c r="A12" s="85">
        <v>6</v>
      </c>
      <c r="B12" s="86" t="s">
        <v>60</v>
      </c>
      <c r="C12" s="87">
        <f t="shared" si="0"/>
        <v>4512</v>
      </c>
      <c r="D12" s="85"/>
      <c r="E12" s="87">
        <v>4512</v>
      </c>
      <c r="F12" s="87"/>
      <c r="G12" s="87"/>
    </row>
    <row r="13" spans="1:7" s="84" customFormat="1" ht="15.75">
      <c r="A13" s="85">
        <v>7</v>
      </c>
      <c r="B13" s="86" t="s">
        <v>66</v>
      </c>
      <c r="C13" s="87">
        <f t="shared" si="0"/>
        <v>19174</v>
      </c>
      <c r="D13" s="85"/>
      <c r="E13" s="87">
        <f>18985+190-1</f>
        <v>19174</v>
      </c>
      <c r="F13" s="87"/>
      <c r="G13" s="87"/>
    </row>
    <row r="14" spans="1:7" s="84" customFormat="1" ht="15.75">
      <c r="A14" s="85">
        <v>8</v>
      </c>
      <c r="B14" s="86" t="s">
        <v>67</v>
      </c>
      <c r="C14" s="87">
        <f t="shared" si="0"/>
        <v>9552</v>
      </c>
      <c r="D14" s="85"/>
      <c r="E14" s="87">
        <v>9552</v>
      </c>
      <c r="F14" s="87"/>
      <c r="G14" s="87"/>
    </row>
    <row r="15" spans="1:7" s="84" customFormat="1" ht="15.75">
      <c r="A15" s="85">
        <v>9</v>
      </c>
      <c r="B15" s="86" t="s">
        <v>68</v>
      </c>
      <c r="C15" s="87">
        <f t="shared" si="0"/>
        <v>4328</v>
      </c>
      <c r="D15" s="85"/>
      <c r="E15" s="87">
        <v>4328</v>
      </c>
      <c r="F15" s="87"/>
      <c r="G15" s="87"/>
    </row>
    <row r="16" spans="1:7" s="84" customFormat="1" ht="15.75">
      <c r="A16" s="85">
        <v>10</v>
      </c>
      <c r="B16" s="86" t="s">
        <v>69</v>
      </c>
      <c r="C16" s="87">
        <f t="shared" si="0"/>
        <v>1785</v>
      </c>
      <c r="D16" s="85"/>
      <c r="E16" s="87">
        <v>1785</v>
      </c>
      <c r="F16" s="87"/>
      <c r="G16" s="87"/>
    </row>
    <row r="17" spans="1:7" s="84" customFormat="1" ht="15.75">
      <c r="A17" s="85">
        <v>11</v>
      </c>
      <c r="B17" s="86" t="s">
        <v>71</v>
      </c>
      <c r="C17" s="87">
        <f t="shared" si="0"/>
        <v>2609</v>
      </c>
      <c r="D17" s="85"/>
      <c r="E17" s="87">
        <v>2609</v>
      </c>
      <c r="F17" s="87"/>
      <c r="G17" s="87"/>
    </row>
    <row r="18" spans="1:7" s="84" customFormat="1" ht="15.75">
      <c r="A18" s="85">
        <v>12</v>
      </c>
      <c r="B18" s="86" t="s">
        <v>72</v>
      </c>
      <c r="C18" s="87">
        <f t="shared" si="0"/>
        <v>9269</v>
      </c>
      <c r="D18" s="85"/>
      <c r="E18" s="87">
        <v>9269</v>
      </c>
      <c r="F18" s="87"/>
      <c r="G18" s="87"/>
    </row>
    <row r="19" spans="1:7" s="84" customFormat="1" ht="15.75">
      <c r="A19" s="85">
        <v>13</v>
      </c>
      <c r="B19" s="86" t="s">
        <v>74</v>
      </c>
      <c r="C19" s="87">
        <f t="shared" si="0"/>
        <v>8206</v>
      </c>
      <c r="D19" s="85"/>
      <c r="E19" s="87">
        <v>8206</v>
      </c>
      <c r="F19" s="87"/>
      <c r="G19" s="87"/>
    </row>
    <row r="20" spans="1:7" s="84" customFormat="1" ht="15.75">
      <c r="A20" s="85">
        <v>14</v>
      </c>
      <c r="B20" s="86" t="s">
        <v>76</v>
      </c>
      <c r="C20" s="87">
        <f t="shared" si="0"/>
        <v>23517</v>
      </c>
      <c r="D20" s="85"/>
      <c r="E20" s="87">
        <v>23517</v>
      </c>
      <c r="F20" s="87"/>
      <c r="G20" s="87"/>
    </row>
    <row r="21" spans="1:7" s="84" customFormat="1" ht="24">
      <c r="A21" s="85">
        <v>15</v>
      </c>
      <c r="B21" s="2" t="s">
        <v>77</v>
      </c>
      <c r="C21" s="87">
        <f t="shared" si="0"/>
        <v>1493</v>
      </c>
      <c r="D21" s="85"/>
      <c r="E21" s="87">
        <v>1493</v>
      </c>
      <c r="F21" s="87"/>
      <c r="G21" s="87"/>
    </row>
    <row r="22" spans="1:7" s="84" customFormat="1" ht="15.75">
      <c r="A22" s="85">
        <v>16</v>
      </c>
      <c r="B22" s="86" t="s">
        <v>78</v>
      </c>
      <c r="C22" s="87">
        <f t="shared" si="0"/>
        <v>5483</v>
      </c>
      <c r="D22" s="85"/>
      <c r="E22" s="87">
        <v>5483</v>
      </c>
      <c r="F22" s="87"/>
      <c r="G22" s="87"/>
    </row>
    <row r="23" spans="1:7" s="84" customFormat="1" ht="15.75">
      <c r="A23" s="85">
        <v>17</v>
      </c>
      <c r="B23" s="86" t="s">
        <v>79</v>
      </c>
      <c r="C23" s="87">
        <f t="shared" si="0"/>
        <v>2417</v>
      </c>
      <c r="D23" s="85"/>
      <c r="E23" s="87">
        <v>2417</v>
      </c>
      <c r="F23" s="87"/>
      <c r="G23" s="87"/>
    </row>
    <row r="24" spans="1:7" s="84" customFormat="1" ht="15.75">
      <c r="A24" s="85">
        <v>18</v>
      </c>
      <c r="B24" s="86" t="s">
        <v>80</v>
      </c>
      <c r="C24" s="87">
        <f t="shared" si="0"/>
        <v>1946</v>
      </c>
      <c r="D24" s="85"/>
      <c r="E24" s="87">
        <v>1946</v>
      </c>
      <c r="F24" s="87"/>
      <c r="G24" s="87"/>
    </row>
    <row r="25" spans="1:7" s="84" customFormat="1" ht="15.75">
      <c r="A25" s="85">
        <v>19</v>
      </c>
      <c r="B25" s="86" t="s">
        <v>81</v>
      </c>
      <c r="C25" s="87">
        <f t="shared" si="0"/>
        <v>2146</v>
      </c>
      <c r="D25" s="85"/>
      <c r="E25" s="87">
        <v>2146</v>
      </c>
      <c r="F25" s="87"/>
      <c r="G25" s="87"/>
    </row>
    <row r="26" spans="1:7" s="84" customFormat="1" ht="15.75">
      <c r="A26" s="85">
        <v>20</v>
      </c>
      <c r="B26" s="86" t="s">
        <v>82</v>
      </c>
      <c r="C26" s="87">
        <f t="shared" si="0"/>
        <v>2583</v>
      </c>
      <c r="D26" s="85"/>
      <c r="E26" s="87">
        <v>2583</v>
      </c>
      <c r="F26" s="87"/>
      <c r="G26" s="87"/>
    </row>
    <row r="27" spans="1:7" s="84" customFormat="1" ht="15.75">
      <c r="A27" s="85">
        <v>21</v>
      </c>
      <c r="B27" s="86" t="s">
        <v>83</v>
      </c>
      <c r="C27" s="87">
        <f t="shared" si="0"/>
        <v>2109</v>
      </c>
      <c r="D27" s="85"/>
      <c r="E27" s="87">
        <v>2109</v>
      </c>
      <c r="F27" s="87"/>
      <c r="G27" s="87"/>
    </row>
    <row r="28" spans="1:7" s="84" customFormat="1" ht="15.75">
      <c r="A28" s="85">
        <v>22</v>
      </c>
      <c r="B28" s="86" t="s">
        <v>84</v>
      </c>
      <c r="C28" s="87">
        <f t="shared" si="0"/>
        <v>3113</v>
      </c>
      <c r="D28" s="85"/>
      <c r="E28" s="87">
        <v>3113</v>
      </c>
      <c r="F28" s="87"/>
      <c r="G28" s="87"/>
    </row>
    <row r="29" spans="1:7" s="84" customFormat="1" ht="15.75">
      <c r="A29" s="85">
        <v>23</v>
      </c>
      <c r="B29" s="86" t="s">
        <v>85</v>
      </c>
      <c r="C29" s="87">
        <f t="shared" si="0"/>
        <v>2241</v>
      </c>
      <c r="D29" s="85"/>
      <c r="E29" s="87">
        <v>2241</v>
      </c>
      <c r="F29" s="87"/>
      <c r="G29" s="87"/>
    </row>
    <row r="30" spans="1:7" s="84" customFormat="1" ht="15.75">
      <c r="A30" s="85">
        <v>24</v>
      </c>
      <c r="B30" s="86" t="s">
        <v>86</v>
      </c>
      <c r="C30" s="87">
        <f t="shared" si="0"/>
        <v>2824</v>
      </c>
      <c r="D30" s="85"/>
      <c r="E30" s="87">
        <v>2824</v>
      </c>
      <c r="F30" s="87"/>
      <c r="G30" s="87"/>
    </row>
    <row r="31" spans="1:7" s="84" customFormat="1" ht="15.75">
      <c r="A31" s="85">
        <v>25</v>
      </c>
      <c r="B31" s="86" t="s">
        <v>8</v>
      </c>
      <c r="C31" s="87">
        <f t="shared" si="0"/>
        <v>5009</v>
      </c>
      <c r="D31" s="85">
        <v>130</v>
      </c>
      <c r="E31" s="87">
        <v>4879</v>
      </c>
      <c r="F31" s="87"/>
      <c r="G31" s="87"/>
    </row>
    <row r="32" spans="1:7" s="84" customFormat="1" ht="15.75">
      <c r="A32" s="85">
        <v>26</v>
      </c>
      <c r="B32" s="86" t="s">
        <v>95</v>
      </c>
      <c r="C32" s="87">
        <f t="shared" si="0"/>
        <v>2278</v>
      </c>
      <c r="D32" s="85"/>
      <c r="E32" s="87">
        <v>2278</v>
      </c>
      <c r="F32" s="87"/>
      <c r="G32" s="87"/>
    </row>
    <row r="33" spans="1:11" s="84" customFormat="1" ht="15.75">
      <c r="A33" s="85">
        <v>27</v>
      </c>
      <c r="B33" s="86" t="s">
        <v>96</v>
      </c>
      <c r="C33" s="87">
        <f t="shared" si="0"/>
        <v>2766</v>
      </c>
      <c r="D33" s="85"/>
      <c r="E33" s="87">
        <v>2766</v>
      </c>
      <c r="F33" s="87"/>
      <c r="G33" s="87"/>
    </row>
    <row r="34" spans="1:11" s="84" customFormat="1" ht="15.75">
      <c r="A34" s="85">
        <v>28</v>
      </c>
      <c r="B34" s="86" t="s">
        <v>97</v>
      </c>
      <c r="C34" s="87">
        <f t="shared" si="0"/>
        <v>1789</v>
      </c>
      <c r="D34" s="85"/>
      <c r="E34" s="87">
        <v>1789</v>
      </c>
      <c r="F34" s="87"/>
      <c r="G34" s="87"/>
    </row>
    <row r="35" spans="1:11" s="84" customFormat="1" ht="15.75">
      <c r="A35" s="85">
        <v>29</v>
      </c>
      <c r="B35" s="86" t="s">
        <v>98</v>
      </c>
      <c r="C35" s="87">
        <f t="shared" si="0"/>
        <v>3635</v>
      </c>
      <c r="D35" s="85"/>
      <c r="E35" s="87">
        <v>3635</v>
      </c>
      <c r="F35" s="87"/>
      <c r="G35" s="87"/>
    </row>
    <row r="36" spans="1:11" s="84" customFormat="1" ht="15.75">
      <c r="A36" s="85">
        <v>30</v>
      </c>
      <c r="B36" s="86" t="s">
        <v>100</v>
      </c>
      <c r="C36" s="87">
        <f t="shared" si="0"/>
        <v>9866</v>
      </c>
      <c r="D36" s="85"/>
      <c r="E36" s="87">
        <v>9866</v>
      </c>
      <c r="F36" s="87"/>
      <c r="G36" s="87"/>
    </row>
    <row r="37" spans="1:11" s="84" customFormat="1" ht="15.75">
      <c r="A37" s="85">
        <v>31</v>
      </c>
      <c r="B37" s="86" t="s">
        <v>102</v>
      </c>
      <c r="C37" s="87">
        <f t="shared" si="0"/>
        <v>6660</v>
      </c>
      <c r="D37" s="85"/>
      <c r="E37" s="87">
        <v>6660</v>
      </c>
      <c r="F37" s="87"/>
      <c r="G37" s="87"/>
    </row>
    <row r="38" spans="1:11" s="84" customFormat="1" ht="15.75">
      <c r="A38" s="85">
        <v>32</v>
      </c>
      <c r="B38" s="86" t="s">
        <v>103</v>
      </c>
      <c r="C38" s="87">
        <f t="shared" si="0"/>
        <v>3272</v>
      </c>
      <c r="D38" s="85"/>
      <c r="E38" s="87">
        <v>3272</v>
      </c>
      <c r="F38" s="87"/>
      <c r="G38" s="87"/>
    </row>
    <row r="39" spans="1:11" s="84" customFormat="1" ht="15.75">
      <c r="A39" s="85">
        <v>33</v>
      </c>
      <c r="B39" s="86" t="s">
        <v>104</v>
      </c>
      <c r="C39" s="87">
        <f t="shared" si="0"/>
        <v>1728</v>
      </c>
      <c r="D39" s="85"/>
      <c r="E39" s="87">
        <v>1728</v>
      </c>
      <c r="F39" s="87"/>
      <c r="G39" s="87"/>
    </row>
    <row r="40" spans="1:11" s="84" customFormat="1" ht="15.75">
      <c r="A40" s="85">
        <v>34</v>
      </c>
      <c r="B40" s="86" t="s">
        <v>107</v>
      </c>
      <c r="C40" s="87">
        <f t="shared" si="0"/>
        <v>27836</v>
      </c>
      <c r="D40" s="85">
        <v>674</v>
      </c>
      <c r="E40" s="87">
        <v>27162</v>
      </c>
      <c r="F40" s="87"/>
      <c r="G40" s="87"/>
    </row>
    <row r="41" spans="1:11" s="84" customFormat="1" ht="15.75">
      <c r="A41" s="85">
        <v>35</v>
      </c>
      <c r="B41" s="86" t="s">
        <v>217</v>
      </c>
      <c r="C41" s="87">
        <f t="shared" si="0"/>
        <v>3330</v>
      </c>
      <c r="D41" s="85"/>
      <c r="E41" s="87">
        <v>3330</v>
      </c>
      <c r="F41" s="87"/>
      <c r="G41" s="87"/>
    </row>
    <row r="42" spans="1:11" s="84" customFormat="1" ht="15.75">
      <c r="A42" s="85">
        <v>36</v>
      </c>
      <c r="B42" s="86" t="s">
        <v>109</v>
      </c>
      <c r="C42" s="87">
        <f t="shared" si="0"/>
        <v>11989</v>
      </c>
      <c r="D42" s="85"/>
      <c r="E42" s="87">
        <v>11989</v>
      </c>
      <c r="F42" s="87"/>
      <c r="G42" s="87"/>
      <c r="H42" s="88"/>
      <c r="I42" s="88"/>
      <c r="J42" s="88"/>
      <c r="K42" s="88"/>
    </row>
    <row r="43" spans="1:11" s="84" customFormat="1" ht="15.75">
      <c r="A43" s="85">
        <v>37</v>
      </c>
      <c r="B43" s="86" t="s">
        <v>218</v>
      </c>
      <c r="C43" s="87">
        <f t="shared" si="0"/>
        <v>2769</v>
      </c>
      <c r="D43" s="85"/>
      <c r="E43" s="87">
        <v>2769</v>
      </c>
      <c r="F43" s="87"/>
      <c r="G43" s="87"/>
      <c r="H43" s="89"/>
      <c r="I43" s="88"/>
      <c r="J43" s="89"/>
      <c r="K43" s="88"/>
    </row>
    <row r="44" spans="1:11" s="84" customFormat="1" ht="37.5" customHeight="1">
      <c r="A44" s="85">
        <v>38</v>
      </c>
      <c r="B44" s="40" t="s">
        <v>219</v>
      </c>
      <c r="C44" s="87">
        <f t="shared" si="0"/>
        <v>791</v>
      </c>
      <c r="D44" s="85"/>
      <c r="E44" s="87">
        <v>791</v>
      </c>
      <c r="F44" s="87"/>
      <c r="G44" s="87"/>
      <c r="H44" s="89"/>
      <c r="I44" s="88"/>
      <c r="J44" s="89"/>
      <c r="K44" s="88"/>
    </row>
    <row r="45" spans="1:11" s="84" customFormat="1" ht="33" customHeight="1">
      <c r="A45" s="85">
        <v>39</v>
      </c>
      <c r="B45" s="90" t="s">
        <v>245</v>
      </c>
      <c r="C45" s="87">
        <f t="shared" si="0"/>
        <v>3868</v>
      </c>
      <c r="D45" s="85"/>
      <c r="E45" s="87">
        <v>3868</v>
      </c>
      <c r="F45" s="87"/>
      <c r="G45" s="87"/>
      <c r="H45" s="88"/>
      <c r="I45" s="88"/>
      <c r="J45" s="88"/>
      <c r="K45" s="88"/>
    </row>
    <row r="46" spans="1:11" s="84" customFormat="1" ht="15.75">
      <c r="A46" s="85">
        <v>40</v>
      </c>
      <c r="B46" s="86" t="s">
        <v>113</v>
      </c>
      <c r="C46" s="87">
        <f t="shared" si="0"/>
        <v>5763</v>
      </c>
      <c r="D46" s="85"/>
      <c r="E46" s="87">
        <v>5763</v>
      </c>
      <c r="F46" s="87"/>
      <c r="G46" s="87"/>
    </row>
    <row r="47" spans="1:11" s="84" customFormat="1" ht="15.75">
      <c r="A47" s="85">
        <v>41</v>
      </c>
      <c r="B47" s="86" t="s">
        <v>114</v>
      </c>
      <c r="C47" s="87">
        <f t="shared" si="0"/>
        <v>729</v>
      </c>
      <c r="D47" s="85"/>
      <c r="E47" s="87">
        <v>729</v>
      </c>
      <c r="F47" s="87"/>
      <c r="G47" s="87"/>
    </row>
    <row r="48" spans="1:11" s="84" customFormat="1" ht="15.75">
      <c r="A48" s="85">
        <v>42</v>
      </c>
      <c r="B48" s="86" t="s">
        <v>117</v>
      </c>
      <c r="C48" s="87">
        <f t="shared" si="0"/>
        <v>11145</v>
      </c>
      <c r="D48" s="85"/>
      <c r="E48" s="87">
        <v>11145</v>
      </c>
      <c r="F48" s="87"/>
      <c r="G48" s="87"/>
    </row>
    <row r="49" spans="1:7" s="84" customFormat="1" ht="15.75">
      <c r="A49" s="85">
        <v>43</v>
      </c>
      <c r="B49" s="86" t="s">
        <v>118</v>
      </c>
      <c r="C49" s="87">
        <f t="shared" si="0"/>
        <v>11348</v>
      </c>
      <c r="D49" s="85"/>
      <c r="E49" s="87">
        <f>11394-46</f>
        <v>11348</v>
      </c>
      <c r="F49" s="87"/>
      <c r="G49" s="87"/>
    </row>
    <row r="50" spans="1:7" s="84" customFormat="1" ht="24.75">
      <c r="A50" s="85">
        <v>44</v>
      </c>
      <c r="B50" s="40" t="s">
        <v>119</v>
      </c>
      <c r="C50" s="87">
        <f t="shared" si="0"/>
        <v>1209</v>
      </c>
      <c r="D50" s="85"/>
      <c r="E50" s="87">
        <v>1209</v>
      </c>
      <c r="F50" s="87"/>
      <c r="G50" s="87"/>
    </row>
    <row r="51" spans="1:7" s="84" customFormat="1" ht="15.75">
      <c r="A51" s="85">
        <v>45</v>
      </c>
      <c r="B51" s="86" t="s">
        <v>120</v>
      </c>
      <c r="C51" s="87">
        <f t="shared" si="0"/>
        <v>10898</v>
      </c>
      <c r="D51" s="85"/>
      <c r="E51" s="87">
        <f>10835+63</f>
        <v>10898</v>
      </c>
      <c r="F51" s="87"/>
      <c r="G51" s="87"/>
    </row>
    <row r="52" spans="1:7" s="84" customFormat="1" ht="15.75">
      <c r="A52" s="85">
        <v>46</v>
      </c>
      <c r="B52" s="86" t="s">
        <v>121</v>
      </c>
      <c r="C52" s="87">
        <f t="shared" si="0"/>
        <v>12625</v>
      </c>
      <c r="D52" s="85">
        <v>15</v>
      </c>
      <c r="E52" s="87">
        <f>17352-17-4725</f>
        <v>12610</v>
      </c>
      <c r="F52" s="87"/>
      <c r="G52" s="87"/>
    </row>
    <row r="53" spans="1:7" s="84" customFormat="1" ht="24.75">
      <c r="A53" s="85">
        <v>47</v>
      </c>
      <c r="B53" s="40" t="s">
        <v>122</v>
      </c>
      <c r="C53" s="87">
        <f t="shared" si="0"/>
        <v>3226</v>
      </c>
      <c r="D53" s="85"/>
      <c r="E53" s="87">
        <v>3226</v>
      </c>
      <c r="F53" s="87"/>
      <c r="G53" s="87"/>
    </row>
    <row r="54" spans="1:7" s="84" customFormat="1" ht="15.75">
      <c r="A54" s="85"/>
      <c r="B54" s="86" t="s">
        <v>282</v>
      </c>
      <c r="C54" s="87">
        <f t="shared" si="0"/>
        <v>4725</v>
      </c>
      <c r="D54" s="85"/>
      <c r="E54" s="87">
        <v>4725</v>
      </c>
      <c r="F54" s="87"/>
      <c r="G54" s="87"/>
    </row>
    <row r="55" spans="1:7" s="84" customFormat="1" ht="15.75">
      <c r="A55" s="85">
        <v>48</v>
      </c>
      <c r="B55" s="86" t="s">
        <v>124</v>
      </c>
      <c r="C55" s="87">
        <f t="shared" si="0"/>
        <v>755</v>
      </c>
      <c r="D55" s="85"/>
      <c r="E55" s="87">
        <v>755</v>
      </c>
      <c r="F55" s="87"/>
      <c r="G55" s="87"/>
    </row>
    <row r="56" spans="1:7" s="84" customFormat="1" ht="15.75">
      <c r="A56" s="85">
        <v>49</v>
      </c>
      <c r="B56" s="86" t="s">
        <v>125</v>
      </c>
      <c r="C56" s="87">
        <f t="shared" si="0"/>
        <v>3088</v>
      </c>
      <c r="D56" s="85"/>
      <c r="E56" s="87">
        <v>3088</v>
      </c>
      <c r="F56" s="87"/>
      <c r="G56" s="87"/>
    </row>
    <row r="57" spans="1:7" s="84" customFormat="1" ht="15.75">
      <c r="A57" s="85">
        <v>50</v>
      </c>
      <c r="B57" s="86" t="s">
        <v>126</v>
      </c>
      <c r="C57" s="87">
        <f t="shared" si="0"/>
        <v>3436</v>
      </c>
      <c r="D57" s="85"/>
      <c r="E57" s="87">
        <v>3436</v>
      </c>
      <c r="F57" s="87"/>
      <c r="G57" s="87"/>
    </row>
    <row r="58" spans="1:7" s="84" customFormat="1" ht="15.75">
      <c r="A58" s="85">
        <v>51</v>
      </c>
      <c r="B58" s="86" t="s">
        <v>127</v>
      </c>
      <c r="C58" s="87">
        <f t="shared" si="0"/>
        <v>3529</v>
      </c>
      <c r="D58" s="85"/>
      <c r="E58" s="87">
        <v>3529</v>
      </c>
      <c r="F58" s="87"/>
      <c r="G58" s="87"/>
    </row>
    <row r="59" spans="1:7" s="84" customFormat="1" ht="15.75">
      <c r="A59" s="85">
        <v>52</v>
      </c>
      <c r="B59" s="86" t="s">
        <v>128</v>
      </c>
      <c r="C59" s="87">
        <f t="shared" si="0"/>
        <v>2164</v>
      </c>
      <c r="D59" s="85"/>
      <c r="E59" s="87">
        <v>2164</v>
      </c>
      <c r="F59" s="87"/>
      <c r="G59" s="87"/>
    </row>
    <row r="60" spans="1:7" s="84" customFormat="1" ht="15.75">
      <c r="A60" s="85">
        <v>53</v>
      </c>
      <c r="B60" s="86" t="s">
        <v>129</v>
      </c>
      <c r="C60" s="87">
        <f t="shared" si="0"/>
        <v>2949</v>
      </c>
      <c r="D60" s="85"/>
      <c r="E60" s="87">
        <v>2949</v>
      </c>
      <c r="F60" s="87"/>
      <c r="G60" s="87"/>
    </row>
    <row r="61" spans="1:7" s="84" customFormat="1" ht="15.75">
      <c r="A61" s="85">
        <v>54</v>
      </c>
      <c r="B61" s="86" t="s">
        <v>130</v>
      </c>
      <c r="C61" s="87">
        <f t="shared" si="0"/>
        <v>1687</v>
      </c>
      <c r="D61" s="85"/>
      <c r="E61" s="87">
        <v>1687</v>
      </c>
      <c r="F61" s="87"/>
      <c r="G61" s="87"/>
    </row>
    <row r="62" spans="1:7" s="84" customFormat="1" ht="15.75">
      <c r="A62" s="85">
        <v>55</v>
      </c>
      <c r="B62" s="86" t="s">
        <v>246</v>
      </c>
      <c r="C62" s="87">
        <f t="shared" si="0"/>
        <v>865</v>
      </c>
      <c r="D62" s="85"/>
      <c r="E62" s="87">
        <v>865</v>
      </c>
      <c r="F62" s="87"/>
      <c r="G62" s="87"/>
    </row>
    <row r="63" spans="1:7" s="84" customFormat="1" ht="15.75">
      <c r="A63" s="85">
        <v>56</v>
      </c>
      <c r="B63" s="86" t="s">
        <v>132</v>
      </c>
      <c r="C63" s="87">
        <f t="shared" si="0"/>
        <v>16051</v>
      </c>
      <c r="D63" s="85"/>
      <c r="E63" s="87">
        <v>16051</v>
      </c>
      <c r="F63" s="87"/>
      <c r="G63" s="87"/>
    </row>
    <row r="64" spans="1:7" s="84" customFormat="1" ht="15.75">
      <c r="A64" s="85">
        <v>57</v>
      </c>
      <c r="B64" s="86" t="s">
        <v>133</v>
      </c>
      <c r="C64" s="87">
        <f t="shared" si="0"/>
        <v>17963</v>
      </c>
      <c r="D64" s="85"/>
      <c r="E64" s="87">
        <v>17963</v>
      </c>
      <c r="F64" s="87"/>
      <c r="G64" s="87"/>
    </row>
    <row r="65" spans="1:7" s="84" customFormat="1" ht="15.75">
      <c r="A65" s="85">
        <v>58</v>
      </c>
      <c r="B65" s="86" t="s">
        <v>135</v>
      </c>
      <c r="C65" s="87">
        <f t="shared" si="0"/>
        <v>3159</v>
      </c>
      <c r="D65" s="85"/>
      <c r="E65" s="87">
        <v>3159</v>
      </c>
      <c r="F65" s="87"/>
      <c r="G65" s="87"/>
    </row>
    <row r="66" spans="1:7" s="84" customFormat="1" ht="15.75">
      <c r="A66" s="85">
        <v>59</v>
      </c>
      <c r="B66" s="86" t="s">
        <v>136</v>
      </c>
      <c r="C66" s="87">
        <f t="shared" si="0"/>
        <v>3699</v>
      </c>
      <c r="D66" s="85"/>
      <c r="E66" s="87">
        <v>3699</v>
      </c>
      <c r="F66" s="87"/>
      <c r="G66" s="87"/>
    </row>
    <row r="67" spans="1:7" s="84" customFormat="1" ht="15.75">
      <c r="A67" s="85">
        <v>60</v>
      </c>
      <c r="B67" s="86" t="s">
        <v>137</v>
      </c>
      <c r="C67" s="87">
        <f t="shared" si="0"/>
        <v>2711</v>
      </c>
      <c r="D67" s="85"/>
      <c r="E67" s="87">
        <v>2711</v>
      </c>
      <c r="F67" s="87"/>
      <c r="G67" s="87"/>
    </row>
    <row r="68" spans="1:7" s="84" customFormat="1" ht="15.75">
      <c r="A68" s="85">
        <v>61</v>
      </c>
      <c r="B68" s="86" t="s">
        <v>163</v>
      </c>
      <c r="C68" s="87">
        <f t="shared" si="0"/>
        <v>9669</v>
      </c>
      <c r="D68" s="85"/>
      <c r="E68" s="87">
        <v>9669</v>
      </c>
      <c r="F68" s="87"/>
      <c r="G68" s="87"/>
    </row>
    <row r="69" spans="1:7" s="84" customFormat="1" ht="15.75">
      <c r="A69" s="85">
        <v>62</v>
      </c>
      <c r="B69" s="86" t="s">
        <v>164</v>
      </c>
      <c r="C69" s="87">
        <f t="shared" si="0"/>
        <v>3592</v>
      </c>
      <c r="D69" s="85"/>
      <c r="E69" s="87">
        <v>3592</v>
      </c>
      <c r="F69" s="87">
        <v>623</v>
      </c>
      <c r="G69" s="87"/>
    </row>
    <row r="70" spans="1:7" s="84" customFormat="1" ht="15.75">
      <c r="A70" s="85">
        <v>63</v>
      </c>
      <c r="B70" s="86" t="s">
        <v>165</v>
      </c>
      <c r="C70" s="87">
        <f t="shared" si="0"/>
        <v>17555</v>
      </c>
      <c r="D70" s="85"/>
      <c r="E70" s="87">
        <v>17555</v>
      </c>
      <c r="F70" s="87"/>
      <c r="G70" s="87"/>
    </row>
    <row r="71" spans="1:7" s="84" customFormat="1" ht="15.75">
      <c r="A71" s="85">
        <v>64</v>
      </c>
      <c r="B71" s="86" t="s">
        <v>166</v>
      </c>
      <c r="C71" s="87">
        <f t="shared" si="0"/>
        <v>927</v>
      </c>
      <c r="D71" s="85"/>
      <c r="E71" s="87">
        <v>927</v>
      </c>
      <c r="F71" s="87"/>
      <c r="G71" s="87"/>
    </row>
    <row r="72" spans="1:7" s="84" customFormat="1" ht="15.75">
      <c r="A72" s="85">
        <v>65</v>
      </c>
      <c r="B72" s="86" t="s">
        <v>167</v>
      </c>
      <c r="C72" s="87">
        <f t="shared" si="0"/>
        <v>6734</v>
      </c>
      <c r="D72" s="85">
        <v>84</v>
      </c>
      <c r="E72" s="87">
        <v>6650</v>
      </c>
      <c r="F72" s="87">
        <v>623</v>
      </c>
      <c r="G72" s="87"/>
    </row>
    <row r="73" spans="1:7" s="84" customFormat="1" ht="15.75">
      <c r="A73" s="85">
        <v>66</v>
      </c>
      <c r="B73" s="86" t="s">
        <v>168</v>
      </c>
      <c r="C73" s="87">
        <f t="shared" ref="C73:C111" si="1">D73+E73+G73</f>
        <v>927</v>
      </c>
      <c r="D73" s="85"/>
      <c r="E73" s="87">
        <v>927</v>
      </c>
      <c r="F73" s="87"/>
      <c r="G73" s="87"/>
    </row>
    <row r="74" spans="1:7" s="84" customFormat="1" ht="15.75">
      <c r="A74" s="85">
        <v>67</v>
      </c>
      <c r="B74" s="86" t="s">
        <v>169</v>
      </c>
      <c r="C74" s="87">
        <f t="shared" si="1"/>
        <v>12140</v>
      </c>
      <c r="D74" s="85">
        <f>217+12</f>
        <v>229</v>
      </c>
      <c r="E74" s="87">
        <f>11923-12</f>
        <v>11911</v>
      </c>
      <c r="F74" s="87"/>
      <c r="G74" s="87"/>
    </row>
    <row r="75" spans="1:7" s="84" customFormat="1" ht="15.75">
      <c r="A75" s="85">
        <v>68</v>
      </c>
      <c r="B75" s="86" t="s">
        <v>170</v>
      </c>
      <c r="C75" s="87">
        <f t="shared" si="1"/>
        <v>14135</v>
      </c>
      <c r="D75" s="85">
        <v>346</v>
      </c>
      <c r="E75" s="87">
        <v>13789</v>
      </c>
      <c r="F75" s="87">
        <v>208</v>
      </c>
      <c r="G75" s="87"/>
    </row>
    <row r="76" spans="1:7" s="84" customFormat="1" ht="15.75">
      <c r="A76" s="85">
        <v>69</v>
      </c>
      <c r="B76" s="86" t="s">
        <v>171</v>
      </c>
      <c r="C76" s="87">
        <f t="shared" si="1"/>
        <v>13686</v>
      </c>
      <c r="D76" s="85">
        <v>480</v>
      </c>
      <c r="E76" s="87">
        <v>13206</v>
      </c>
      <c r="F76" s="87">
        <v>1246</v>
      </c>
      <c r="G76" s="87"/>
    </row>
    <row r="77" spans="1:7" s="84" customFormat="1" ht="15.75">
      <c r="A77" s="85">
        <v>70</v>
      </c>
      <c r="B77" s="86" t="s">
        <v>172</v>
      </c>
      <c r="C77" s="87">
        <f t="shared" si="1"/>
        <v>9302</v>
      </c>
      <c r="D77" s="85">
        <v>140</v>
      </c>
      <c r="E77" s="87">
        <v>9162</v>
      </c>
      <c r="F77" s="87"/>
      <c r="G77" s="87"/>
    </row>
    <row r="78" spans="1:7" s="84" customFormat="1" ht="15.75">
      <c r="A78" s="85">
        <v>71</v>
      </c>
      <c r="B78" s="86" t="s">
        <v>173</v>
      </c>
      <c r="C78" s="87">
        <f t="shared" si="1"/>
        <v>5425</v>
      </c>
      <c r="D78" s="85"/>
      <c r="E78" s="87">
        <v>5425</v>
      </c>
      <c r="F78" s="87"/>
      <c r="G78" s="87"/>
    </row>
    <row r="79" spans="1:7" s="84" customFormat="1" ht="15.75">
      <c r="A79" s="85">
        <v>72</v>
      </c>
      <c r="B79" s="86" t="s">
        <v>174</v>
      </c>
      <c r="C79" s="87">
        <f t="shared" si="1"/>
        <v>2001</v>
      </c>
      <c r="D79" s="85"/>
      <c r="E79" s="87">
        <v>2001</v>
      </c>
      <c r="F79" s="87"/>
      <c r="G79" s="87"/>
    </row>
    <row r="80" spans="1:7" s="84" customFormat="1" ht="15.75">
      <c r="A80" s="85">
        <v>73</v>
      </c>
      <c r="B80" s="86" t="s">
        <v>175</v>
      </c>
      <c r="C80" s="87">
        <f t="shared" si="1"/>
        <v>3741</v>
      </c>
      <c r="D80" s="85"/>
      <c r="E80" s="87">
        <v>3741</v>
      </c>
      <c r="F80" s="87"/>
      <c r="G80" s="87"/>
    </row>
    <row r="81" spans="1:7" s="84" customFormat="1" ht="15.75">
      <c r="A81" s="85">
        <v>74</v>
      </c>
      <c r="B81" s="86" t="s">
        <v>176</v>
      </c>
      <c r="C81" s="87">
        <f t="shared" si="1"/>
        <v>3366</v>
      </c>
      <c r="D81" s="85"/>
      <c r="E81" s="87">
        <v>3366</v>
      </c>
      <c r="F81" s="87"/>
      <c r="G81" s="87"/>
    </row>
    <row r="82" spans="1:7" s="84" customFormat="1" ht="15.75">
      <c r="A82" s="85">
        <v>75</v>
      </c>
      <c r="B82" s="86" t="s">
        <v>177</v>
      </c>
      <c r="C82" s="87">
        <f t="shared" si="1"/>
        <v>4766</v>
      </c>
      <c r="D82" s="87"/>
      <c r="E82" s="87">
        <v>4766</v>
      </c>
      <c r="F82" s="87"/>
      <c r="G82" s="87"/>
    </row>
    <row r="83" spans="1:7" s="84" customFormat="1" ht="15.75">
      <c r="A83" s="85">
        <v>76</v>
      </c>
      <c r="B83" s="86" t="s">
        <v>178</v>
      </c>
      <c r="C83" s="87">
        <f t="shared" si="1"/>
        <v>2584</v>
      </c>
      <c r="D83" s="85"/>
      <c r="E83" s="87">
        <v>2584</v>
      </c>
      <c r="F83" s="87"/>
      <c r="G83" s="87"/>
    </row>
    <row r="84" spans="1:7" s="84" customFormat="1" ht="15.75">
      <c r="A84" s="85">
        <v>77</v>
      </c>
      <c r="B84" s="86" t="s">
        <v>179</v>
      </c>
      <c r="C84" s="87">
        <f t="shared" si="1"/>
        <v>2103</v>
      </c>
      <c r="D84" s="87"/>
      <c r="E84" s="87">
        <v>2103</v>
      </c>
      <c r="F84" s="87"/>
      <c r="G84" s="87"/>
    </row>
    <row r="85" spans="1:7" s="84" customFormat="1" ht="15.75">
      <c r="A85" s="85">
        <v>78</v>
      </c>
      <c r="B85" s="86" t="s">
        <v>180</v>
      </c>
      <c r="C85" s="87">
        <f t="shared" si="1"/>
        <v>3033</v>
      </c>
      <c r="D85" s="85"/>
      <c r="E85" s="87">
        <v>3033</v>
      </c>
      <c r="F85" s="87"/>
      <c r="G85" s="87"/>
    </row>
    <row r="86" spans="1:7" s="84" customFormat="1" ht="15.75">
      <c r="A86" s="85">
        <v>79</v>
      </c>
      <c r="B86" s="86" t="s">
        <v>181</v>
      </c>
      <c r="C86" s="87">
        <f t="shared" si="1"/>
        <v>4426</v>
      </c>
      <c r="D86" s="85"/>
      <c r="E86" s="87">
        <v>4426</v>
      </c>
      <c r="F86" s="87"/>
      <c r="G86" s="87"/>
    </row>
    <row r="87" spans="1:7" s="84" customFormat="1" ht="15.75">
      <c r="A87" s="85">
        <v>80</v>
      </c>
      <c r="B87" s="86" t="s">
        <v>182</v>
      </c>
      <c r="C87" s="87">
        <f t="shared" si="1"/>
        <v>2244</v>
      </c>
      <c r="D87" s="87"/>
      <c r="E87" s="87">
        <v>2244</v>
      </c>
      <c r="F87" s="87"/>
      <c r="G87" s="87"/>
    </row>
    <row r="88" spans="1:7" s="84" customFormat="1" ht="33.75" customHeight="1">
      <c r="A88" s="85">
        <v>81</v>
      </c>
      <c r="B88" s="90" t="s">
        <v>184</v>
      </c>
      <c r="C88" s="87">
        <f t="shared" si="1"/>
        <v>7611</v>
      </c>
      <c r="D88" s="85"/>
      <c r="E88" s="87">
        <v>7611</v>
      </c>
      <c r="F88" s="87"/>
      <c r="G88" s="87"/>
    </row>
    <row r="89" spans="1:7" s="84" customFormat="1" ht="15.75">
      <c r="A89" s="85">
        <v>82</v>
      </c>
      <c r="B89" s="86" t="s">
        <v>185</v>
      </c>
      <c r="C89" s="87">
        <f t="shared" si="1"/>
        <v>21520</v>
      </c>
      <c r="D89" s="85">
        <v>1390</v>
      </c>
      <c r="E89" s="87">
        <v>20130</v>
      </c>
      <c r="F89" s="87">
        <v>623</v>
      </c>
      <c r="G89" s="87"/>
    </row>
    <row r="90" spans="1:7" s="84" customFormat="1" ht="15.75">
      <c r="A90" s="85">
        <v>83</v>
      </c>
      <c r="B90" s="91" t="s">
        <v>188</v>
      </c>
      <c r="C90" s="87">
        <f t="shared" si="1"/>
        <v>2865</v>
      </c>
      <c r="D90" s="85"/>
      <c r="E90" s="87">
        <v>2865</v>
      </c>
      <c r="F90" s="87"/>
      <c r="G90" s="87"/>
    </row>
    <row r="91" spans="1:7" s="84" customFormat="1" ht="15.75">
      <c r="A91" s="85">
        <v>84</v>
      </c>
      <c r="B91" s="86" t="s">
        <v>247</v>
      </c>
      <c r="C91" s="87">
        <f t="shared" si="1"/>
        <v>308</v>
      </c>
      <c r="D91" s="85">
        <v>240</v>
      </c>
      <c r="E91" s="87">
        <f>34+34</f>
        <v>68</v>
      </c>
      <c r="F91" s="87"/>
      <c r="G91" s="87"/>
    </row>
    <row r="92" spans="1:7" s="84" customFormat="1" ht="15.75">
      <c r="A92" s="85">
        <v>85</v>
      </c>
      <c r="B92" s="86" t="s">
        <v>248</v>
      </c>
      <c r="C92" s="87">
        <f t="shared" si="1"/>
        <v>0</v>
      </c>
      <c r="D92" s="85"/>
      <c r="E92" s="87">
        <f>34-34</f>
        <v>0</v>
      </c>
      <c r="F92" s="87"/>
      <c r="G92" s="87"/>
    </row>
    <row r="93" spans="1:7" s="84" customFormat="1" ht="15.75">
      <c r="A93" s="85">
        <v>86</v>
      </c>
      <c r="B93" s="86" t="s">
        <v>249</v>
      </c>
      <c r="C93" s="87">
        <f t="shared" si="1"/>
        <v>34</v>
      </c>
      <c r="D93" s="85"/>
      <c r="E93" s="87">
        <v>34</v>
      </c>
      <c r="F93" s="87"/>
      <c r="G93" s="87"/>
    </row>
    <row r="94" spans="1:7" s="84" customFormat="1" ht="15" customHeight="1">
      <c r="A94" s="85">
        <v>87</v>
      </c>
      <c r="B94" s="92" t="s">
        <v>250</v>
      </c>
      <c r="C94" s="87">
        <f t="shared" si="1"/>
        <v>4500</v>
      </c>
      <c r="D94" s="85"/>
      <c r="E94" s="87"/>
      <c r="F94" s="87"/>
      <c r="G94" s="87">
        <v>4500</v>
      </c>
    </row>
    <row r="95" spans="1:7" s="84" customFormat="1" ht="15.75">
      <c r="A95" s="85">
        <v>88</v>
      </c>
      <c r="B95" s="93" t="s">
        <v>251</v>
      </c>
      <c r="C95" s="87">
        <f t="shared" si="1"/>
        <v>1500</v>
      </c>
      <c r="D95" s="85"/>
      <c r="E95" s="87"/>
      <c r="F95" s="87"/>
      <c r="G95" s="87">
        <v>1500</v>
      </c>
    </row>
    <row r="96" spans="1:7" s="84" customFormat="1" ht="15.75">
      <c r="A96" s="85">
        <v>89</v>
      </c>
      <c r="B96" s="94" t="s">
        <v>252</v>
      </c>
      <c r="C96" s="87">
        <f t="shared" si="1"/>
        <v>27323</v>
      </c>
      <c r="D96" s="85">
        <v>2461</v>
      </c>
      <c r="E96" s="87">
        <v>24862</v>
      </c>
      <c r="F96" s="87">
        <v>831</v>
      </c>
      <c r="G96" s="87"/>
    </row>
    <row r="97" spans="1:8" s="84" customFormat="1" ht="15.75">
      <c r="A97" s="85">
        <v>90</v>
      </c>
      <c r="B97" s="94" t="s">
        <v>253</v>
      </c>
      <c r="C97" s="87">
        <f t="shared" si="1"/>
        <v>12426</v>
      </c>
      <c r="D97" s="85">
        <v>1020</v>
      </c>
      <c r="E97" s="87">
        <v>11406</v>
      </c>
      <c r="F97" s="87"/>
      <c r="G97" s="87"/>
    </row>
    <row r="98" spans="1:8" s="84" customFormat="1" ht="15.75">
      <c r="A98" s="85">
        <v>91</v>
      </c>
      <c r="B98" s="92" t="s">
        <v>11</v>
      </c>
      <c r="C98" s="87">
        <f t="shared" si="1"/>
        <v>11586</v>
      </c>
      <c r="D98" s="85">
        <v>2960</v>
      </c>
      <c r="E98" s="87">
        <v>8626</v>
      </c>
      <c r="F98" s="87">
        <v>624</v>
      </c>
      <c r="G98" s="87"/>
    </row>
    <row r="99" spans="1:8" s="84" customFormat="1" ht="31.5">
      <c r="A99" s="85">
        <v>92</v>
      </c>
      <c r="B99" s="95" t="s">
        <v>254</v>
      </c>
      <c r="C99" s="87">
        <f t="shared" si="1"/>
        <v>792</v>
      </c>
      <c r="D99" s="85"/>
      <c r="E99" s="87">
        <v>792</v>
      </c>
      <c r="F99" s="87"/>
      <c r="G99" s="87"/>
    </row>
    <row r="100" spans="1:8" s="84" customFormat="1" ht="15.75">
      <c r="A100" s="85">
        <v>93</v>
      </c>
      <c r="B100" s="92" t="s">
        <v>200</v>
      </c>
      <c r="C100" s="87">
        <f t="shared" si="1"/>
        <v>12510</v>
      </c>
      <c r="D100" s="85">
        <v>2660</v>
      </c>
      <c r="E100" s="87">
        <f>10040-190</f>
        <v>9850</v>
      </c>
      <c r="F100" s="87"/>
      <c r="G100" s="87"/>
    </row>
    <row r="101" spans="1:8" s="84" customFormat="1" ht="15.75">
      <c r="A101" s="85">
        <v>94</v>
      </c>
      <c r="B101" s="92" t="s">
        <v>201</v>
      </c>
      <c r="C101" s="87">
        <f t="shared" si="1"/>
        <v>5366</v>
      </c>
      <c r="D101" s="85">
        <v>52</v>
      </c>
      <c r="E101" s="87">
        <v>5314</v>
      </c>
      <c r="F101" s="87"/>
      <c r="G101" s="87"/>
    </row>
    <row r="102" spans="1:8" s="84" customFormat="1" ht="15.75">
      <c r="A102" s="85">
        <v>95</v>
      </c>
      <c r="B102" s="92" t="s">
        <v>255</v>
      </c>
      <c r="C102" s="87">
        <f t="shared" si="1"/>
        <v>18444</v>
      </c>
      <c r="D102" s="85">
        <v>925</v>
      </c>
      <c r="E102" s="87">
        <v>17519</v>
      </c>
      <c r="F102" s="87">
        <v>283</v>
      </c>
      <c r="G102" s="87"/>
    </row>
    <row r="103" spans="1:8" s="84" customFormat="1" ht="15.75">
      <c r="A103" s="85">
        <v>96</v>
      </c>
      <c r="B103" s="92" t="s">
        <v>203</v>
      </c>
      <c r="C103" s="87">
        <f t="shared" si="1"/>
        <v>22888</v>
      </c>
      <c r="D103" s="85">
        <f>500+160</f>
        <v>660</v>
      </c>
      <c r="E103" s="87">
        <f>9028+13200</f>
        <v>22228</v>
      </c>
      <c r="F103" s="87"/>
      <c r="G103" s="87"/>
    </row>
    <row r="104" spans="1:8" s="84" customFormat="1" ht="15.75">
      <c r="A104" s="85">
        <v>97</v>
      </c>
      <c r="B104" s="3" t="s">
        <v>10</v>
      </c>
      <c r="C104" s="87">
        <f t="shared" si="1"/>
        <v>5425</v>
      </c>
      <c r="D104" s="85">
        <v>216</v>
      </c>
      <c r="E104" s="87">
        <f>5208+1</f>
        <v>5209</v>
      </c>
      <c r="F104" s="87">
        <v>1350</v>
      </c>
      <c r="G104" s="87"/>
    </row>
    <row r="105" spans="1:8" s="84" customFormat="1" ht="15.75">
      <c r="A105" s="85">
        <v>98</v>
      </c>
      <c r="B105" s="3" t="s">
        <v>1</v>
      </c>
      <c r="C105" s="87">
        <f t="shared" si="1"/>
        <v>24606</v>
      </c>
      <c r="D105" s="85">
        <f>1013+5</f>
        <v>1018</v>
      </c>
      <c r="E105" s="87">
        <f>23593-5</f>
        <v>23588</v>
      </c>
      <c r="F105" s="87">
        <v>1246</v>
      </c>
      <c r="G105" s="87"/>
    </row>
    <row r="106" spans="1:8" s="84" customFormat="1" ht="15.75">
      <c r="A106" s="85">
        <v>99</v>
      </c>
      <c r="B106" s="3" t="s">
        <v>256</v>
      </c>
      <c r="C106" s="87">
        <f t="shared" si="1"/>
        <v>22380</v>
      </c>
      <c r="D106" s="85">
        <f>1093+75</f>
        <v>1168</v>
      </c>
      <c r="E106" s="87">
        <f>21287-75</f>
        <v>21212</v>
      </c>
      <c r="F106" s="87">
        <v>727</v>
      </c>
      <c r="G106" s="87"/>
    </row>
    <row r="107" spans="1:8" s="84" customFormat="1" ht="24.75">
      <c r="A107" s="85">
        <v>100</v>
      </c>
      <c r="B107" s="40" t="s">
        <v>257</v>
      </c>
      <c r="C107" s="87">
        <f t="shared" si="1"/>
        <v>2258</v>
      </c>
      <c r="D107" s="85"/>
      <c r="E107" s="87">
        <v>2258</v>
      </c>
      <c r="F107" s="87"/>
      <c r="G107" s="87"/>
    </row>
    <row r="108" spans="1:8" s="84" customFormat="1" ht="15.75">
      <c r="A108" s="85">
        <v>101</v>
      </c>
      <c r="B108" s="3" t="s">
        <v>258</v>
      </c>
      <c r="C108" s="87">
        <f t="shared" si="1"/>
        <v>15841</v>
      </c>
      <c r="D108" s="85"/>
      <c r="E108" s="87">
        <v>15841</v>
      </c>
      <c r="F108" s="87"/>
      <c r="G108" s="87"/>
    </row>
    <row r="109" spans="1:8" s="84" customFormat="1" ht="15.75">
      <c r="A109" s="85">
        <v>102</v>
      </c>
      <c r="B109" s="92" t="s">
        <v>259</v>
      </c>
      <c r="C109" s="87">
        <f t="shared" si="1"/>
        <v>1010</v>
      </c>
      <c r="D109" s="85">
        <v>200</v>
      </c>
      <c r="E109" s="87">
        <v>810</v>
      </c>
      <c r="F109" s="87"/>
      <c r="G109" s="87"/>
    </row>
    <row r="110" spans="1:8" s="84" customFormat="1" ht="15.75">
      <c r="A110" s="85"/>
      <c r="B110" s="96" t="s">
        <v>260</v>
      </c>
      <c r="C110" s="87">
        <f t="shared" si="1"/>
        <v>82</v>
      </c>
      <c r="D110" s="85"/>
      <c r="E110" s="87">
        <v>82</v>
      </c>
      <c r="F110" s="87"/>
      <c r="G110" s="87"/>
    </row>
    <row r="111" spans="1:8" s="84" customFormat="1" ht="15.75">
      <c r="A111" s="85"/>
      <c r="B111" s="96" t="s">
        <v>209</v>
      </c>
      <c r="C111" s="87">
        <f t="shared" si="1"/>
        <v>15258</v>
      </c>
      <c r="D111" s="85"/>
      <c r="E111" s="87">
        <v>15258</v>
      </c>
      <c r="F111" s="87"/>
      <c r="G111" s="87"/>
    </row>
    <row r="112" spans="1:8" s="84" customFormat="1" ht="15.75">
      <c r="A112" s="97"/>
      <c r="B112" s="98" t="s">
        <v>13</v>
      </c>
      <c r="C112" s="99">
        <f>SUM(C7:C111)</f>
        <v>705707</v>
      </c>
      <c r="D112" s="99">
        <f>SUM(D7:D111)</f>
        <v>17068</v>
      </c>
      <c r="E112" s="99">
        <f>SUM(E7:E111)</f>
        <v>682639</v>
      </c>
      <c r="F112" s="99">
        <f>SUM(F7:F111)</f>
        <v>8384</v>
      </c>
      <c r="G112" s="99">
        <f>SUM(G7:G111)</f>
        <v>6000</v>
      </c>
      <c r="H112" s="100"/>
    </row>
    <row r="113" spans="1:7" s="102" customFormat="1">
      <c r="A113" s="101"/>
      <c r="E113" s="103"/>
      <c r="F113" s="103"/>
      <c r="G113" s="103"/>
    </row>
  </sheetData>
  <mergeCells count="6">
    <mergeCell ref="A1:G1"/>
    <mergeCell ref="E3:G3"/>
    <mergeCell ref="A4:A5"/>
    <mergeCell ref="B4:B5"/>
    <mergeCell ref="C4:C5"/>
    <mergeCell ref="D4:G4"/>
  </mergeCells>
  <pageMargins left="0.39370078740157483" right="0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9"/>
  <sheetViews>
    <sheetView workbookViewId="0">
      <pane xSplit="2" ySplit="8" topLeftCell="C120" activePane="bottomRight" state="frozen"/>
      <selection pane="topRight" activeCell="C1" sqref="C1"/>
      <selection pane="bottomLeft" activeCell="A8" sqref="A8"/>
      <selection pane="bottomRight" activeCell="B6" sqref="B6:B7"/>
    </sheetView>
  </sheetViews>
  <sheetFormatPr defaultRowHeight="12.75"/>
  <cols>
    <col min="1" max="1" width="5.42578125" style="61" customWidth="1"/>
    <col min="2" max="2" width="54.5703125" style="61" customWidth="1"/>
    <col min="3" max="3" width="13.28515625" style="61" customWidth="1"/>
    <col min="4" max="4" width="13" style="61" customWidth="1"/>
    <col min="5" max="5" width="12.85546875" style="61" customWidth="1"/>
    <col min="6" max="6" width="13" style="61" customWidth="1"/>
    <col min="7" max="16384" width="9.140625" style="61"/>
  </cols>
  <sheetData>
    <row r="2" spans="1:7" ht="18.75" customHeight="1">
      <c r="A2" s="133" t="s">
        <v>314</v>
      </c>
      <c r="B2" s="133"/>
      <c r="C2" s="133"/>
      <c r="D2" s="133"/>
      <c r="E2" s="133"/>
      <c r="F2" s="133"/>
      <c r="G2" s="60"/>
    </row>
    <row r="3" spans="1:7" ht="18.75" customHeight="1">
      <c r="A3" s="133"/>
      <c r="B3" s="133"/>
      <c r="C3" s="133"/>
      <c r="D3" s="133"/>
      <c r="E3" s="133"/>
      <c r="F3" s="133"/>
      <c r="G3" s="60"/>
    </row>
    <row r="4" spans="1:7" ht="8.25" customHeight="1">
      <c r="A4" s="62"/>
    </row>
    <row r="5" spans="1:7" s="59" customFormat="1">
      <c r="A5" s="63"/>
      <c r="E5" s="145" t="s">
        <v>210</v>
      </c>
      <c r="F5" s="145"/>
    </row>
    <row r="6" spans="1:7" s="59" customFormat="1" ht="15" customHeight="1">
      <c r="A6" s="146" t="s">
        <v>36</v>
      </c>
      <c r="B6" s="146" t="s">
        <v>211</v>
      </c>
      <c r="C6" s="146" t="s">
        <v>212</v>
      </c>
      <c r="D6" s="146"/>
      <c r="E6" s="146"/>
      <c r="F6" s="146"/>
    </row>
    <row r="7" spans="1:7" s="59" customFormat="1" ht="63.75" customHeight="1">
      <c r="A7" s="146"/>
      <c r="B7" s="146"/>
      <c r="C7" s="64" t="s">
        <v>213</v>
      </c>
      <c r="D7" s="64" t="s">
        <v>214</v>
      </c>
      <c r="E7" s="64" t="s">
        <v>215</v>
      </c>
      <c r="F7" s="64" t="s">
        <v>216</v>
      </c>
    </row>
    <row r="8" spans="1:7" s="59" customForma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</row>
    <row r="9" spans="1:7" s="59" customFormat="1">
      <c r="A9" s="64">
        <v>1</v>
      </c>
      <c r="B9" s="65" t="s">
        <v>55</v>
      </c>
      <c r="C9" s="64">
        <f>D9+F9</f>
        <v>4675</v>
      </c>
      <c r="D9" s="64">
        <v>4675</v>
      </c>
      <c r="E9" s="64"/>
      <c r="F9" s="64"/>
    </row>
    <row r="10" spans="1:7" s="59" customFormat="1">
      <c r="A10" s="64">
        <v>2</v>
      </c>
      <c r="B10" s="65" t="s">
        <v>56</v>
      </c>
      <c r="C10" s="64">
        <f t="shared" ref="C10:C78" si="0">D10+F10</f>
        <v>2064</v>
      </c>
      <c r="D10" s="64">
        <v>2064</v>
      </c>
      <c r="E10" s="64"/>
      <c r="F10" s="64"/>
    </row>
    <row r="11" spans="1:7" s="59" customFormat="1">
      <c r="A11" s="64">
        <v>3</v>
      </c>
      <c r="B11" s="65" t="s">
        <v>57</v>
      </c>
      <c r="C11" s="64">
        <f t="shared" si="0"/>
        <v>1283</v>
      </c>
      <c r="D11" s="64">
        <v>1283</v>
      </c>
      <c r="E11" s="64"/>
      <c r="F11" s="64"/>
    </row>
    <row r="12" spans="1:7" s="59" customFormat="1">
      <c r="A12" s="64">
        <v>4</v>
      </c>
      <c r="B12" s="65" t="s">
        <v>58</v>
      </c>
      <c r="C12" s="64">
        <f t="shared" si="0"/>
        <v>792</v>
      </c>
      <c r="D12" s="64">
        <v>792</v>
      </c>
      <c r="E12" s="64"/>
      <c r="F12" s="64"/>
    </row>
    <row r="13" spans="1:7" s="59" customFormat="1">
      <c r="A13" s="64">
        <v>5</v>
      </c>
      <c r="B13" s="65" t="s">
        <v>59</v>
      </c>
      <c r="C13" s="64">
        <f t="shared" si="0"/>
        <v>1497</v>
      </c>
      <c r="D13" s="64">
        <v>1497</v>
      </c>
      <c r="E13" s="64"/>
      <c r="F13" s="64"/>
    </row>
    <row r="14" spans="1:7" s="59" customFormat="1">
      <c r="A14" s="64">
        <v>6</v>
      </c>
      <c r="B14" s="65" t="s">
        <v>60</v>
      </c>
      <c r="C14" s="64">
        <f t="shared" si="0"/>
        <v>2295</v>
      </c>
      <c r="D14" s="64">
        <v>2295</v>
      </c>
      <c r="E14" s="64"/>
      <c r="F14" s="64"/>
    </row>
    <row r="15" spans="1:7" s="59" customFormat="1">
      <c r="A15" s="64">
        <v>7</v>
      </c>
      <c r="B15" s="65" t="s">
        <v>66</v>
      </c>
      <c r="C15" s="64">
        <f t="shared" si="0"/>
        <v>5309</v>
      </c>
      <c r="D15" s="64">
        <v>5309</v>
      </c>
      <c r="E15" s="64"/>
      <c r="F15" s="64"/>
    </row>
    <row r="16" spans="1:7" s="59" customFormat="1">
      <c r="A16" s="64">
        <v>8</v>
      </c>
      <c r="B16" s="65" t="s">
        <v>67</v>
      </c>
      <c r="C16" s="64">
        <f t="shared" si="0"/>
        <v>3763</v>
      </c>
      <c r="D16" s="64">
        <v>3763</v>
      </c>
      <c r="E16" s="64"/>
      <c r="F16" s="64"/>
    </row>
    <row r="17" spans="1:6" s="59" customFormat="1">
      <c r="A17" s="64">
        <v>9</v>
      </c>
      <c r="B17" s="65" t="s">
        <v>68</v>
      </c>
      <c r="C17" s="64">
        <f t="shared" si="0"/>
        <v>2183</v>
      </c>
      <c r="D17" s="64">
        <v>2183</v>
      </c>
      <c r="E17" s="64"/>
      <c r="F17" s="64"/>
    </row>
    <row r="18" spans="1:6" s="59" customFormat="1">
      <c r="A18" s="64">
        <v>10</v>
      </c>
      <c r="B18" s="65" t="s">
        <v>69</v>
      </c>
      <c r="C18" s="64">
        <f t="shared" si="0"/>
        <v>941</v>
      </c>
      <c r="D18" s="64">
        <v>941</v>
      </c>
      <c r="E18" s="64"/>
      <c r="F18" s="64"/>
    </row>
    <row r="19" spans="1:6" s="59" customFormat="1">
      <c r="A19" s="64">
        <v>11</v>
      </c>
      <c r="B19" s="65" t="s">
        <v>71</v>
      </c>
      <c r="C19" s="64">
        <f t="shared" si="0"/>
        <v>908</v>
      </c>
      <c r="D19" s="64">
        <v>908</v>
      </c>
      <c r="E19" s="64"/>
      <c r="F19" s="64"/>
    </row>
    <row r="20" spans="1:6" s="59" customFormat="1">
      <c r="A20" s="64">
        <v>12</v>
      </c>
      <c r="B20" s="65" t="s">
        <v>72</v>
      </c>
      <c r="C20" s="64">
        <f t="shared" si="0"/>
        <v>2968</v>
      </c>
      <c r="D20" s="64">
        <v>2968</v>
      </c>
      <c r="E20" s="64"/>
      <c r="F20" s="64"/>
    </row>
    <row r="21" spans="1:6" s="59" customFormat="1">
      <c r="A21" s="64">
        <v>13</v>
      </c>
      <c r="B21" s="65" t="s">
        <v>74</v>
      </c>
      <c r="C21" s="64">
        <f t="shared" si="0"/>
        <v>3138</v>
      </c>
      <c r="D21" s="64">
        <v>3138</v>
      </c>
      <c r="E21" s="64"/>
      <c r="F21" s="64"/>
    </row>
    <row r="22" spans="1:6" s="59" customFormat="1">
      <c r="A22" s="64">
        <v>14</v>
      </c>
      <c r="B22" s="65" t="s">
        <v>76</v>
      </c>
      <c r="C22" s="64">
        <f t="shared" si="0"/>
        <v>7047</v>
      </c>
      <c r="D22" s="64">
        <v>7047</v>
      </c>
      <c r="E22" s="64"/>
      <c r="F22" s="64"/>
    </row>
    <row r="23" spans="1:6" s="67" customFormat="1" ht="24">
      <c r="A23" s="64">
        <v>15</v>
      </c>
      <c r="B23" s="2" t="s">
        <v>77</v>
      </c>
      <c r="C23" s="66">
        <f t="shared" si="0"/>
        <v>905</v>
      </c>
      <c r="D23" s="38">
        <v>905</v>
      </c>
      <c r="E23" s="38"/>
      <c r="F23" s="38"/>
    </row>
    <row r="24" spans="1:6" s="59" customFormat="1">
      <c r="A24" s="64">
        <v>16</v>
      </c>
      <c r="B24" s="65" t="s">
        <v>78</v>
      </c>
      <c r="C24" s="64">
        <f t="shared" si="0"/>
        <v>2374</v>
      </c>
      <c r="D24" s="64">
        <v>2374</v>
      </c>
      <c r="E24" s="64"/>
      <c r="F24" s="64"/>
    </row>
    <row r="25" spans="1:6" s="59" customFormat="1">
      <c r="A25" s="64">
        <v>17</v>
      </c>
      <c r="B25" s="65" t="s">
        <v>79</v>
      </c>
      <c r="C25" s="64">
        <f t="shared" si="0"/>
        <v>1110</v>
      </c>
      <c r="D25" s="64">
        <v>1110</v>
      </c>
      <c r="E25" s="64"/>
      <c r="F25" s="64"/>
    </row>
    <row r="26" spans="1:6" s="59" customFormat="1">
      <c r="A26" s="64">
        <v>18</v>
      </c>
      <c r="B26" s="65" t="s">
        <v>80</v>
      </c>
      <c r="C26" s="64">
        <f t="shared" si="0"/>
        <v>1073</v>
      </c>
      <c r="D26" s="64">
        <v>1073</v>
      </c>
      <c r="E26" s="64"/>
      <c r="F26" s="64"/>
    </row>
    <row r="27" spans="1:6" s="59" customFormat="1">
      <c r="A27" s="64">
        <v>19</v>
      </c>
      <c r="B27" s="65" t="s">
        <v>81</v>
      </c>
      <c r="C27" s="64">
        <f t="shared" si="0"/>
        <v>1229</v>
      </c>
      <c r="D27" s="64">
        <v>1229</v>
      </c>
      <c r="E27" s="64"/>
      <c r="F27" s="64"/>
    </row>
    <row r="28" spans="1:6" s="59" customFormat="1">
      <c r="A28" s="64">
        <v>20</v>
      </c>
      <c r="B28" s="65" t="s">
        <v>82</v>
      </c>
      <c r="C28" s="64">
        <f t="shared" si="0"/>
        <v>1254</v>
      </c>
      <c r="D28" s="64">
        <v>1254</v>
      </c>
      <c r="E28" s="64"/>
      <c r="F28" s="64"/>
    </row>
    <row r="29" spans="1:6" s="59" customFormat="1">
      <c r="A29" s="64">
        <v>21</v>
      </c>
      <c r="B29" s="65" t="s">
        <v>83</v>
      </c>
      <c r="C29" s="64">
        <f t="shared" si="0"/>
        <v>1395</v>
      </c>
      <c r="D29" s="64">
        <v>1395</v>
      </c>
      <c r="E29" s="64"/>
      <c r="F29" s="64"/>
    </row>
    <row r="30" spans="1:6" s="59" customFormat="1">
      <c r="A30" s="64">
        <v>22</v>
      </c>
      <c r="B30" s="65" t="s">
        <v>84</v>
      </c>
      <c r="C30" s="64">
        <f t="shared" si="0"/>
        <v>1309</v>
      </c>
      <c r="D30" s="64">
        <v>1309</v>
      </c>
      <c r="E30" s="64"/>
      <c r="F30" s="64"/>
    </row>
    <row r="31" spans="1:6" s="59" customFormat="1">
      <c r="A31" s="64">
        <v>23</v>
      </c>
      <c r="B31" s="65" t="s">
        <v>85</v>
      </c>
      <c r="C31" s="64">
        <f t="shared" si="0"/>
        <v>1401</v>
      </c>
      <c r="D31" s="64">
        <v>1401</v>
      </c>
      <c r="E31" s="64"/>
      <c r="F31" s="64"/>
    </row>
    <row r="32" spans="1:6" s="59" customFormat="1">
      <c r="A32" s="64">
        <v>24</v>
      </c>
      <c r="B32" s="65" t="s">
        <v>86</v>
      </c>
      <c r="C32" s="64">
        <f t="shared" si="0"/>
        <v>1300</v>
      </c>
      <c r="D32" s="64">
        <v>1300</v>
      </c>
      <c r="E32" s="64"/>
      <c r="F32" s="64"/>
    </row>
    <row r="33" spans="1:6" s="59" customFormat="1">
      <c r="A33" s="64">
        <v>25</v>
      </c>
      <c r="B33" s="65" t="s">
        <v>8</v>
      </c>
      <c r="C33" s="64">
        <f t="shared" si="0"/>
        <v>1501</v>
      </c>
      <c r="D33" s="64">
        <v>1501</v>
      </c>
      <c r="E33" s="64"/>
      <c r="F33" s="64"/>
    </row>
    <row r="34" spans="1:6" s="59" customFormat="1">
      <c r="A34" s="64">
        <v>26</v>
      </c>
      <c r="B34" s="65" t="s">
        <v>95</v>
      </c>
      <c r="C34" s="64">
        <f t="shared" si="0"/>
        <v>993</v>
      </c>
      <c r="D34" s="64">
        <v>993</v>
      </c>
      <c r="E34" s="64"/>
      <c r="F34" s="64"/>
    </row>
    <row r="35" spans="1:6" s="59" customFormat="1">
      <c r="A35" s="64">
        <v>27</v>
      </c>
      <c r="B35" s="65" t="s">
        <v>96</v>
      </c>
      <c r="C35" s="64">
        <f t="shared" si="0"/>
        <v>1191</v>
      </c>
      <c r="D35" s="64">
        <v>1191</v>
      </c>
      <c r="E35" s="64"/>
      <c r="F35" s="64"/>
    </row>
    <row r="36" spans="1:6" s="59" customFormat="1">
      <c r="A36" s="64">
        <v>28</v>
      </c>
      <c r="B36" s="65" t="s">
        <v>97</v>
      </c>
      <c r="C36" s="64">
        <f t="shared" si="0"/>
        <v>936</v>
      </c>
      <c r="D36" s="64">
        <v>936</v>
      </c>
      <c r="E36" s="64"/>
      <c r="F36" s="64"/>
    </row>
    <row r="37" spans="1:6" s="59" customFormat="1">
      <c r="A37" s="64">
        <v>29</v>
      </c>
      <c r="B37" s="65" t="s">
        <v>98</v>
      </c>
      <c r="C37" s="64">
        <f t="shared" si="0"/>
        <v>1383</v>
      </c>
      <c r="D37" s="64">
        <v>1383</v>
      </c>
      <c r="E37" s="64"/>
      <c r="F37" s="64"/>
    </row>
    <row r="38" spans="1:6" s="59" customFormat="1">
      <c r="A38" s="64">
        <v>30</v>
      </c>
      <c r="B38" s="65" t="s">
        <v>100</v>
      </c>
      <c r="C38" s="64">
        <f t="shared" si="0"/>
        <v>3057</v>
      </c>
      <c r="D38" s="64">
        <v>3057</v>
      </c>
      <c r="E38" s="64"/>
      <c r="F38" s="64"/>
    </row>
    <row r="39" spans="1:6" s="59" customFormat="1">
      <c r="A39" s="64">
        <v>31</v>
      </c>
      <c r="B39" s="65" t="s">
        <v>102</v>
      </c>
      <c r="C39" s="64">
        <f t="shared" si="0"/>
        <v>3053</v>
      </c>
      <c r="D39" s="64">
        <v>3053</v>
      </c>
      <c r="E39" s="64"/>
      <c r="F39" s="64"/>
    </row>
    <row r="40" spans="1:6" s="59" customFormat="1">
      <c r="A40" s="64">
        <v>32</v>
      </c>
      <c r="B40" s="65" t="s">
        <v>103</v>
      </c>
      <c r="C40" s="64">
        <f t="shared" si="0"/>
        <v>1644</v>
      </c>
      <c r="D40" s="64">
        <v>1644</v>
      </c>
      <c r="E40" s="64"/>
      <c r="F40" s="64"/>
    </row>
    <row r="41" spans="1:6" s="59" customFormat="1">
      <c r="A41" s="64">
        <v>33</v>
      </c>
      <c r="B41" s="65" t="s">
        <v>104</v>
      </c>
      <c r="C41" s="64">
        <f t="shared" si="0"/>
        <v>807</v>
      </c>
      <c r="D41" s="64">
        <v>807</v>
      </c>
      <c r="E41" s="64"/>
      <c r="F41" s="64"/>
    </row>
    <row r="42" spans="1:6" s="59" customFormat="1">
      <c r="A42" s="64">
        <v>34</v>
      </c>
      <c r="B42" s="65" t="s">
        <v>107</v>
      </c>
      <c r="C42" s="64">
        <f t="shared" si="0"/>
        <v>2659</v>
      </c>
      <c r="D42" s="64">
        <v>2659</v>
      </c>
      <c r="E42" s="64"/>
      <c r="F42" s="64"/>
    </row>
    <row r="43" spans="1:6" s="59" customFormat="1">
      <c r="A43" s="64">
        <v>35</v>
      </c>
      <c r="B43" s="65" t="s">
        <v>217</v>
      </c>
      <c r="C43" s="64">
        <f t="shared" si="0"/>
        <v>2967</v>
      </c>
      <c r="D43" s="64">
        <v>2967</v>
      </c>
      <c r="E43" s="64"/>
      <c r="F43" s="64"/>
    </row>
    <row r="44" spans="1:6" s="59" customFormat="1">
      <c r="A44" s="64">
        <v>36</v>
      </c>
      <c r="B44" s="65" t="s">
        <v>109</v>
      </c>
      <c r="C44" s="64">
        <f t="shared" si="0"/>
        <v>3078</v>
      </c>
      <c r="D44" s="64">
        <v>3078</v>
      </c>
      <c r="E44" s="64"/>
      <c r="F44" s="64"/>
    </row>
    <row r="45" spans="1:6" s="59" customFormat="1">
      <c r="A45" s="64">
        <v>37</v>
      </c>
      <c r="B45" s="65" t="s">
        <v>218</v>
      </c>
      <c r="C45" s="64">
        <f t="shared" si="0"/>
        <v>1563</v>
      </c>
      <c r="D45" s="64">
        <v>1563</v>
      </c>
      <c r="E45" s="64"/>
      <c r="F45" s="64"/>
    </row>
    <row r="46" spans="1:6" s="67" customFormat="1" ht="24.75" customHeight="1">
      <c r="A46" s="64">
        <v>38</v>
      </c>
      <c r="B46" s="40" t="s">
        <v>219</v>
      </c>
      <c r="C46" s="66">
        <f t="shared" si="0"/>
        <v>2072</v>
      </c>
      <c r="D46" s="38">
        <v>2072</v>
      </c>
      <c r="E46" s="38"/>
      <c r="F46" s="38"/>
    </row>
    <row r="47" spans="1:6" s="59" customFormat="1">
      <c r="A47" s="64">
        <v>39</v>
      </c>
      <c r="B47" s="68" t="s">
        <v>112</v>
      </c>
      <c r="C47" s="64">
        <f t="shared" si="0"/>
        <v>165</v>
      </c>
      <c r="D47" s="64">
        <v>165</v>
      </c>
      <c r="E47" s="64"/>
      <c r="F47" s="64"/>
    </row>
    <row r="48" spans="1:6" s="59" customFormat="1">
      <c r="A48" s="64">
        <v>40</v>
      </c>
      <c r="B48" s="65" t="s">
        <v>113</v>
      </c>
      <c r="C48" s="64">
        <f t="shared" si="0"/>
        <v>1820</v>
      </c>
      <c r="D48" s="64">
        <v>1820</v>
      </c>
      <c r="E48" s="64"/>
      <c r="F48" s="64"/>
    </row>
    <row r="49" spans="1:6" s="59" customFormat="1">
      <c r="A49" s="64">
        <v>41</v>
      </c>
      <c r="B49" s="65" t="s">
        <v>114</v>
      </c>
      <c r="C49" s="64">
        <f t="shared" si="0"/>
        <v>294</v>
      </c>
      <c r="D49" s="64">
        <v>294</v>
      </c>
      <c r="E49" s="64"/>
      <c r="F49" s="64"/>
    </row>
    <row r="50" spans="1:6" s="59" customFormat="1" ht="16.5" customHeight="1">
      <c r="A50" s="64">
        <v>42</v>
      </c>
      <c r="B50" s="68" t="s">
        <v>116</v>
      </c>
      <c r="C50" s="64">
        <f t="shared" si="0"/>
        <v>348</v>
      </c>
      <c r="D50" s="64">
        <v>348</v>
      </c>
      <c r="E50" s="64"/>
      <c r="F50" s="64"/>
    </row>
    <row r="51" spans="1:6" s="59" customFormat="1">
      <c r="A51" s="64">
        <v>43</v>
      </c>
      <c r="B51" s="68" t="s">
        <v>220</v>
      </c>
      <c r="C51" s="64">
        <f t="shared" si="0"/>
        <v>360</v>
      </c>
      <c r="D51" s="64">
        <v>360</v>
      </c>
      <c r="E51" s="64"/>
      <c r="F51" s="64"/>
    </row>
    <row r="52" spans="1:6" s="59" customFormat="1">
      <c r="A52" s="64">
        <v>44</v>
      </c>
      <c r="B52" s="65" t="s">
        <v>117</v>
      </c>
      <c r="C52" s="64">
        <f t="shared" si="0"/>
        <v>4516</v>
      </c>
      <c r="D52" s="64">
        <v>4516</v>
      </c>
      <c r="E52" s="64"/>
      <c r="F52" s="64"/>
    </row>
    <row r="53" spans="1:6" s="59" customFormat="1">
      <c r="A53" s="64">
        <v>45</v>
      </c>
      <c r="B53" s="65" t="s">
        <v>118</v>
      </c>
      <c r="C53" s="64">
        <f t="shared" si="0"/>
        <v>3331</v>
      </c>
      <c r="D53" s="64">
        <v>3331</v>
      </c>
      <c r="E53" s="64"/>
      <c r="F53" s="64"/>
    </row>
    <row r="54" spans="1:6" s="67" customFormat="1" ht="24">
      <c r="A54" s="64">
        <v>46</v>
      </c>
      <c r="B54" s="40" t="s">
        <v>221</v>
      </c>
      <c r="C54" s="69">
        <f t="shared" si="0"/>
        <v>1225</v>
      </c>
      <c r="D54" s="38">
        <v>1225</v>
      </c>
      <c r="E54" s="38"/>
      <c r="F54" s="38"/>
    </row>
    <row r="55" spans="1:6" s="59" customFormat="1">
      <c r="A55" s="64">
        <v>47</v>
      </c>
      <c r="B55" s="65" t="s">
        <v>120</v>
      </c>
      <c r="C55" s="64">
        <f t="shared" si="0"/>
        <v>4309</v>
      </c>
      <c r="D55" s="64">
        <v>4309</v>
      </c>
      <c r="E55" s="64"/>
      <c r="F55" s="64"/>
    </row>
    <row r="56" spans="1:6" s="59" customFormat="1">
      <c r="A56" s="64">
        <v>48</v>
      </c>
      <c r="B56" s="65" t="s">
        <v>121</v>
      </c>
      <c r="C56" s="64">
        <f t="shared" si="0"/>
        <v>4024</v>
      </c>
      <c r="D56" s="64">
        <f>4774-750</f>
        <v>4024</v>
      </c>
      <c r="E56" s="64"/>
      <c r="F56" s="64"/>
    </row>
    <row r="57" spans="1:6" s="67" customFormat="1" ht="23.25" customHeight="1">
      <c r="A57" s="64">
        <v>49</v>
      </c>
      <c r="B57" s="40" t="s">
        <v>122</v>
      </c>
      <c r="C57" s="66">
        <f t="shared" si="0"/>
        <v>1402</v>
      </c>
      <c r="D57" s="66">
        <v>1402</v>
      </c>
      <c r="E57" s="66"/>
      <c r="F57" s="66"/>
    </row>
    <row r="58" spans="1:6" s="67" customFormat="1" ht="23.25" customHeight="1">
      <c r="A58" s="64"/>
      <c r="B58" s="40" t="s">
        <v>282</v>
      </c>
      <c r="C58" s="66">
        <f t="shared" si="0"/>
        <v>750</v>
      </c>
      <c r="D58" s="66">
        <v>750</v>
      </c>
      <c r="E58" s="66"/>
      <c r="F58" s="66"/>
    </row>
    <row r="59" spans="1:6" s="59" customFormat="1">
      <c r="A59" s="64">
        <v>50</v>
      </c>
      <c r="B59" s="65" t="s">
        <v>124</v>
      </c>
      <c r="C59" s="64">
        <f t="shared" si="0"/>
        <v>207</v>
      </c>
      <c r="D59" s="64">
        <v>207</v>
      </c>
      <c r="E59" s="64"/>
      <c r="F59" s="64"/>
    </row>
    <row r="60" spans="1:6" s="59" customFormat="1">
      <c r="A60" s="64">
        <v>51</v>
      </c>
      <c r="B60" s="65" t="s">
        <v>125</v>
      </c>
      <c r="C60" s="64">
        <f t="shared" si="0"/>
        <v>1475</v>
      </c>
      <c r="D60" s="64">
        <v>1475</v>
      </c>
      <c r="E60" s="64"/>
      <c r="F60" s="64"/>
    </row>
    <row r="61" spans="1:6" s="59" customFormat="1">
      <c r="A61" s="64">
        <v>52</v>
      </c>
      <c r="B61" s="65" t="s">
        <v>126</v>
      </c>
      <c r="C61" s="64">
        <f t="shared" si="0"/>
        <v>1803</v>
      </c>
      <c r="D61" s="64">
        <v>1803</v>
      </c>
      <c r="E61" s="64"/>
      <c r="F61" s="64"/>
    </row>
    <row r="62" spans="1:6" s="59" customFormat="1">
      <c r="A62" s="64">
        <v>53</v>
      </c>
      <c r="B62" s="65" t="s">
        <v>127</v>
      </c>
      <c r="C62" s="64">
        <f t="shared" si="0"/>
        <v>1647</v>
      </c>
      <c r="D62" s="64">
        <v>1647</v>
      </c>
      <c r="E62" s="64"/>
      <c r="F62" s="64"/>
    </row>
    <row r="63" spans="1:6" s="59" customFormat="1">
      <c r="A63" s="64">
        <v>54</v>
      </c>
      <c r="B63" s="65" t="s">
        <v>128</v>
      </c>
      <c r="C63" s="64">
        <f t="shared" si="0"/>
        <v>1056</v>
      </c>
      <c r="D63" s="64">
        <v>1056</v>
      </c>
      <c r="E63" s="64"/>
      <c r="F63" s="64"/>
    </row>
    <row r="64" spans="1:6" s="59" customFormat="1">
      <c r="A64" s="64">
        <v>55</v>
      </c>
      <c r="B64" s="65" t="s">
        <v>129</v>
      </c>
      <c r="C64" s="64">
        <f t="shared" si="0"/>
        <v>1834</v>
      </c>
      <c r="D64" s="64">
        <v>1834</v>
      </c>
      <c r="E64" s="64"/>
      <c r="F64" s="64"/>
    </row>
    <row r="65" spans="1:6" s="59" customFormat="1">
      <c r="A65" s="64">
        <v>56</v>
      </c>
      <c r="B65" s="65" t="s">
        <v>130</v>
      </c>
      <c r="C65" s="64">
        <f t="shared" si="0"/>
        <v>877</v>
      </c>
      <c r="D65" s="64">
        <v>877</v>
      </c>
      <c r="E65" s="64"/>
      <c r="F65" s="64"/>
    </row>
    <row r="66" spans="1:6" s="59" customFormat="1">
      <c r="A66" s="64">
        <v>57</v>
      </c>
      <c r="B66" s="65" t="s">
        <v>222</v>
      </c>
      <c r="C66" s="64">
        <f t="shared" si="0"/>
        <v>230</v>
      </c>
      <c r="D66" s="64">
        <v>230</v>
      </c>
      <c r="E66" s="64"/>
      <c r="F66" s="64"/>
    </row>
    <row r="67" spans="1:6" s="59" customFormat="1">
      <c r="A67" s="64">
        <v>58</v>
      </c>
      <c r="B67" s="65" t="s">
        <v>132</v>
      </c>
      <c r="C67" s="64">
        <f t="shared" si="0"/>
        <v>6546</v>
      </c>
      <c r="D67" s="64">
        <v>6546</v>
      </c>
      <c r="E67" s="64"/>
      <c r="F67" s="64"/>
    </row>
    <row r="68" spans="1:6" s="59" customFormat="1">
      <c r="A68" s="64">
        <v>59</v>
      </c>
      <c r="B68" s="65" t="s">
        <v>133</v>
      </c>
      <c r="C68" s="64">
        <f t="shared" si="0"/>
        <v>5402</v>
      </c>
      <c r="D68" s="64">
        <v>5402</v>
      </c>
      <c r="E68" s="64"/>
      <c r="F68" s="64"/>
    </row>
    <row r="69" spans="1:6" s="59" customFormat="1">
      <c r="A69" s="64">
        <v>60</v>
      </c>
      <c r="B69" s="65" t="s">
        <v>135</v>
      </c>
      <c r="C69" s="64">
        <f t="shared" si="0"/>
        <v>1495</v>
      </c>
      <c r="D69" s="64">
        <v>1495</v>
      </c>
      <c r="E69" s="64"/>
      <c r="F69" s="64"/>
    </row>
    <row r="70" spans="1:6" s="59" customFormat="1">
      <c r="A70" s="64">
        <v>61</v>
      </c>
      <c r="B70" s="65" t="s">
        <v>136</v>
      </c>
      <c r="C70" s="64">
        <f t="shared" si="0"/>
        <v>1722</v>
      </c>
      <c r="D70" s="64">
        <v>1722</v>
      </c>
      <c r="E70" s="64"/>
      <c r="F70" s="64"/>
    </row>
    <row r="71" spans="1:6" s="59" customFormat="1">
      <c r="A71" s="64">
        <v>62</v>
      </c>
      <c r="B71" s="65" t="s">
        <v>137</v>
      </c>
      <c r="C71" s="64">
        <f t="shared" si="0"/>
        <v>1169</v>
      </c>
      <c r="D71" s="64">
        <v>1169</v>
      </c>
      <c r="E71" s="64"/>
      <c r="F71" s="64"/>
    </row>
    <row r="72" spans="1:6" s="59" customFormat="1">
      <c r="A72" s="64">
        <v>63</v>
      </c>
      <c r="B72" s="65" t="s">
        <v>138</v>
      </c>
      <c r="C72" s="64">
        <f t="shared" si="0"/>
        <v>1880</v>
      </c>
      <c r="D72" s="64">
        <v>1880</v>
      </c>
      <c r="E72" s="64"/>
      <c r="F72" s="64"/>
    </row>
    <row r="73" spans="1:6" s="59" customFormat="1">
      <c r="A73" s="64">
        <v>64</v>
      </c>
      <c r="B73" s="65" t="s">
        <v>139</v>
      </c>
      <c r="C73" s="64">
        <f t="shared" si="0"/>
        <v>1593</v>
      </c>
      <c r="D73" s="64">
        <v>1593</v>
      </c>
      <c r="E73" s="64"/>
      <c r="F73" s="64"/>
    </row>
    <row r="74" spans="1:6" s="59" customFormat="1">
      <c r="A74" s="64">
        <v>65</v>
      </c>
      <c r="B74" s="65" t="s">
        <v>140</v>
      </c>
      <c r="C74" s="64">
        <f t="shared" si="0"/>
        <v>2152</v>
      </c>
      <c r="D74" s="64">
        <v>2152</v>
      </c>
      <c r="E74" s="64"/>
      <c r="F74" s="64"/>
    </row>
    <row r="75" spans="1:6" s="59" customFormat="1">
      <c r="A75" s="64">
        <v>66</v>
      </c>
      <c r="B75" s="65" t="s">
        <v>141</v>
      </c>
      <c r="C75" s="64">
        <f t="shared" si="0"/>
        <v>2672</v>
      </c>
      <c r="D75" s="64">
        <v>2672</v>
      </c>
      <c r="E75" s="64"/>
      <c r="F75" s="64"/>
    </row>
    <row r="76" spans="1:6" s="59" customFormat="1">
      <c r="A76" s="64">
        <v>67</v>
      </c>
      <c r="B76" s="65" t="s">
        <v>223</v>
      </c>
      <c r="C76" s="64">
        <f t="shared" si="0"/>
        <v>974</v>
      </c>
      <c r="D76" s="64">
        <v>974</v>
      </c>
      <c r="E76" s="64"/>
      <c r="F76" s="64"/>
    </row>
    <row r="77" spans="1:6" s="59" customFormat="1">
      <c r="A77" s="64">
        <v>68</v>
      </c>
      <c r="B77" s="65" t="s">
        <v>145</v>
      </c>
      <c r="C77" s="64">
        <f t="shared" si="0"/>
        <v>3305</v>
      </c>
      <c r="D77" s="64">
        <v>3305</v>
      </c>
      <c r="E77" s="64"/>
      <c r="F77" s="64"/>
    </row>
    <row r="78" spans="1:6" s="59" customFormat="1">
      <c r="A78" s="64">
        <v>69</v>
      </c>
      <c r="B78" s="65" t="s">
        <v>146</v>
      </c>
      <c r="C78" s="64">
        <f t="shared" si="0"/>
        <v>1794</v>
      </c>
      <c r="D78" s="64">
        <v>1794</v>
      </c>
      <c r="E78" s="64"/>
      <c r="F78" s="64"/>
    </row>
    <row r="79" spans="1:6" s="59" customFormat="1">
      <c r="A79" s="64">
        <v>70</v>
      </c>
      <c r="B79" s="65" t="s">
        <v>147</v>
      </c>
      <c r="C79" s="64">
        <f t="shared" ref="C79:C133" si="1">D79+F79</f>
        <v>1721</v>
      </c>
      <c r="D79" s="64">
        <v>1721</v>
      </c>
      <c r="E79" s="64"/>
      <c r="F79" s="64"/>
    </row>
    <row r="80" spans="1:6" s="59" customFormat="1">
      <c r="A80" s="64">
        <v>71</v>
      </c>
      <c r="B80" s="65" t="s">
        <v>148</v>
      </c>
      <c r="C80" s="64">
        <f t="shared" si="1"/>
        <v>1289</v>
      </c>
      <c r="D80" s="64">
        <v>1289</v>
      </c>
      <c r="E80" s="64"/>
      <c r="F80" s="64"/>
    </row>
    <row r="81" spans="1:6" s="59" customFormat="1">
      <c r="A81" s="64">
        <v>72</v>
      </c>
      <c r="B81" s="65" t="s">
        <v>149</v>
      </c>
      <c r="C81" s="64">
        <f t="shared" si="1"/>
        <v>3769</v>
      </c>
      <c r="D81" s="64">
        <v>3769</v>
      </c>
      <c r="E81" s="64"/>
      <c r="F81" s="64"/>
    </row>
    <row r="82" spans="1:6" s="59" customFormat="1">
      <c r="A82" s="64">
        <v>73</v>
      </c>
      <c r="B82" s="65" t="s">
        <v>150</v>
      </c>
      <c r="C82" s="64">
        <f t="shared" si="1"/>
        <v>2032</v>
      </c>
      <c r="D82" s="64">
        <v>2032</v>
      </c>
      <c r="E82" s="64"/>
      <c r="F82" s="64"/>
    </row>
    <row r="83" spans="1:6" s="59" customFormat="1">
      <c r="A83" s="64">
        <v>74</v>
      </c>
      <c r="B83" s="65" t="s">
        <v>151</v>
      </c>
      <c r="C83" s="64">
        <f t="shared" si="1"/>
        <v>2063</v>
      </c>
      <c r="D83" s="64">
        <v>2063</v>
      </c>
      <c r="E83" s="64"/>
      <c r="F83" s="64"/>
    </row>
    <row r="84" spans="1:6" s="59" customFormat="1">
      <c r="A84" s="64">
        <v>75</v>
      </c>
      <c r="B84" s="65" t="s">
        <v>152</v>
      </c>
      <c r="C84" s="64">
        <f t="shared" si="1"/>
        <v>1249</v>
      </c>
      <c r="D84" s="64">
        <v>1249</v>
      </c>
      <c r="E84" s="64"/>
      <c r="F84" s="64"/>
    </row>
    <row r="85" spans="1:6" s="59" customFormat="1">
      <c r="A85" s="64">
        <v>76</v>
      </c>
      <c r="B85" s="65" t="s">
        <v>153</v>
      </c>
      <c r="C85" s="64">
        <f t="shared" si="1"/>
        <v>4078</v>
      </c>
      <c r="D85" s="64">
        <v>4078</v>
      </c>
      <c r="E85" s="64"/>
      <c r="F85" s="64"/>
    </row>
    <row r="86" spans="1:6" s="59" customFormat="1">
      <c r="A86" s="64">
        <v>77</v>
      </c>
      <c r="B86" s="65" t="s">
        <v>154</v>
      </c>
      <c r="C86" s="64">
        <f t="shared" si="1"/>
        <v>1628</v>
      </c>
      <c r="D86" s="64">
        <v>1628</v>
      </c>
      <c r="E86" s="64"/>
      <c r="F86" s="64"/>
    </row>
    <row r="87" spans="1:6" s="59" customFormat="1">
      <c r="A87" s="64">
        <v>78</v>
      </c>
      <c r="B87" s="65" t="s">
        <v>155</v>
      </c>
      <c r="C87" s="64">
        <f t="shared" si="1"/>
        <v>1597</v>
      </c>
      <c r="D87" s="64">
        <v>1597</v>
      </c>
      <c r="E87" s="64"/>
      <c r="F87" s="64"/>
    </row>
    <row r="88" spans="1:6" s="59" customFormat="1">
      <c r="A88" s="64">
        <v>79</v>
      </c>
      <c r="B88" s="65" t="s">
        <v>163</v>
      </c>
      <c r="C88" s="64">
        <f t="shared" si="1"/>
        <v>3185</v>
      </c>
      <c r="D88" s="64">
        <v>3185</v>
      </c>
      <c r="E88" s="64"/>
      <c r="F88" s="64"/>
    </row>
    <row r="89" spans="1:6" s="59" customFormat="1">
      <c r="A89" s="64">
        <v>80</v>
      </c>
      <c r="B89" s="65" t="s">
        <v>164</v>
      </c>
      <c r="C89" s="64">
        <f t="shared" si="1"/>
        <v>2399</v>
      </c>
      <c r="D89" s="64">
        <v>2399</v>
      </c>
      <c r="E89" s="64"/>
      <c r="F89" s="64"/>
    </row>
    <row r="90" spans="1:6" s="59" customFormat="1">
      <c r="A90" s="64">
        <v>81</v>
      </c>
      <c r="B90" s="65" t="s">
        <v>165</v>
      </c>
      <c r="C90" s="64">
        <f t="shared" si="1"/>
        <v>1899</v>
      </c>
      <c r="D90" s="64">
        <v>1899</v>
      </c>
      <c r="E90" s="64"/>
      <c r="F90" s="64"/>
    </row>
    <row r="91" spans="1:6" s="59" customFormat="1">
      <c r="A91" s="64">
        <v>82</v>
      </c>
      <c r="B91" s="65" t="s">
        <v>166</v>
      </c>
      <c r="C91" s="64">
        <f t="shared" si="1"/>
        <v>1077</v>
      </c>
      <c r="D91" s="64">
        <v>1077</v>
      </c>
      <c r="E91" s="64"/>
      <c r="F91" s="64"/>
    </row>
    <row r="92" spans="1:6" s="59" customFormat="1">
      <c r="A92" s="64">
        <v>83</v>
      </c>
      <c r="B92" s="65" t="s">
        <v>167</v>
      </c>
      <c r="C92" s="64">
        <f t="shared" si="1"/>
        <v>1589</v>
      </c>
      <c r="D92" s="64">
        <v>1589</v>
      </c>
      <c r="E92" s="64"/>
      <c r="F92" s="64"/>
    </row>
    <row r="93" spans="1:6" s="59" customFormat="1">
      <c r="A93" s="64">
        <v>84</v>
      </c>
      <c r="B93" s="65" t="s">
        <v>168</v>
      </c>
      <c r="C93" s="64">
        <f t="shared" si="1"/>
        <v>874</v>
      </c>
      <c r="D93" s="64">
        <v>874</v>
      </c>
      <c r="E93" s="64"/>
      <c r="F93" s="64"/>
    </row>
    <row r="94" spans="1:6" s="59" customFormat="1">
      <c r="A94" s="64">
        <v>85</v>
      </c>
      <c r="B94" s="65" t="s">
        <v>169</v>
      </c>
      <c r="C94" s="64">
        <f t="shared" si="1"/>
        <v>4812</v>
      </c>
      <c r="D94" s="64">
        <v>4812</v>
      </c>
      <c r="E94" s="64"/>
      <c r="F94" s="64"/>
    </row>
    <row r="95" spans="1:6" s="59" customFormat="1">
      <c r="A95" s="64">
        <v>86</v>
      </c>
      <c r="B95" s="65" t="s">
        <v>170</v>
      </c>
      <c r="C95" s="64">
        <f t="shared" si="1"/>
        <v>1626</v>
      </c>
      <c r="D95" s="64">
        <v>1626</v>
      </c>
      <c r="E95" s="64"/>
      <c r="F95" s="64"/>
    </row>
    <row r="96" spans="1:6" s="59" customFormat="1">
      <c r="A96" s="64">
        <v>87</v>
      </c>
      <c r="B96" s="65" t="s">
        <v>171</v>
      </c>
      <c r="C96" s="64">
        <f t="shared" si="1"/>
        <v>2111</v>
      </c>
      <c r="D96" s="64">
        <v>2111</v>
      </c>
      <c r="E96" s="64"/>
      <c r="F96" s="64"/>
    </row>
    <row r="97" spans="1:6" s="59" customFormat="1">
      <c r="A97" s="64">
        <v>88</v>
      </c>
      <c r="B97" s="65" t="s">
        <v>172</v>
      </c>
      <c r="C97" s="64">
        <f t="shared" si="1"/>
        <v>674</v>
      </c>
      <c r="D97" s="70">
        <v>674</v>
      </c>
      <c r="E97" s="70"/>
      <c r="F97" s="70"/>
    </row>
    <row r="98" spans="1:6" s="59" customFormat="1">
      <c r="A98" s="64">
        <v>89</v>
      </c>
      <c r="B98" s="65" t="s">
        <v>173</v>
      </c>
      <c r="C98" s="64">
        <f t="shared" si="1"/>
        <v>2548</v>
      </c>
      <c r="D98" s="70">
        <v>2548</v>
      </c>
      <c r="E98" s="70"/>
      <c r="F98" s="70"/>
    </row>
    <row r="99" spans="1:6" s="59" customFormat="1">
      <c r="A99" s="64">
        <v>90</v>
      </c>
      <c r="B99" s="65" t="s">
        <v>174</v>
      </c>
      <c r="C99" s="64">
        <f t="shared" si="1"/>
        <v>1007</v>
      </c>
      <c r="D99" s="70">
        <v>1007</v>
      </c>
      <c r="E99" s="70"/>
      <c r="F99" s="70"/>
    </row>
    <row r="100" spans="1:6" s="59" customFormat="1">
      <c r="A100" s="64">
        <v>91</v>
      </c>
      <c r="B100" s="65" t="s">
        <v>175</v>
      </c>
      <c r="C100" s="64">
        <f t="shared" si="1"/>
        <v>1476</v>
      </c>
      <c r="D100" s="70">
        <v>1476</v>
      </c>
      <c r="E100" s="70"/>
      <c r="F100" s="70"/>
    </row>
    <row r="101" spans="1:6" s="59" customFormat="1">
      <c r="A101" s="64">
        <v>92</v>
      </c>
      <c r="B101" s="65" t="s">
        <v>176</v>
      </c>
      <c r="C101" s="64">
        <f t="shared" si="1"/>
        <v>2610</v>
      </c>
      <c r="D101" s="70">
        <v>2610</v>
      </c>
      <c r="E101" s="70"/>
      <c r="F101" s="70"/>
    </row>
    <row r="102" spans="1:6" s="59" customFormat="1">
      <c r="A102" s="64">
        <v>93</v>
      </c>
      <c r="B102" s="65" t="s">
        <v>177</v>
      </c>
      <c r="C102" s="64">
        <f t="shared" si="1"/>
        <v>2478</v>
      </c>
      <c r="D102" s="70">
        <v>2478</v>
      </c>
      <c r="E102" s="70"/>
      <c r="F102" s="70"/>
    </row>
    <row r="103" spans="1:6" s="59" customFormat="1">
      <c r="A103" s="64">
        <v>94</v>
      </c>
      <c r="B103" s="65" t="s">
        <v>178</v>
      </c>
      <c r="C103" s="64">
        <f t="shared" si="1"/>
        <v>1457</v>
      </c>
      <c r="D103" s="70">
        <v>1457</v>
      </c>
      <c r="E103" s="70"/>
      <c r="F103" s="70"/>
    </row>
    <row r="104" spans="1:6" s="59" customFormat="1">
      <c r="A104" s="64">
        <v>95</v>
      </c>
      <c r="B104" s="65" t="s">
        <v>179</v>
      </c>
      <c r="C104" s="64">
        <f t="shared" si="1"/>
        <v>1101</v>
      </c>
      <c r="D104" s="70">
        <v>1101</v>
      </c>
      <c r="E104" s="70"/>
      <c r="F104" s="70"/>
    </row>
    <row r="105" spans="1:6" s="59" customFormat="1">
      <c r="A105" s="64">
        <v>96</v>
      </c>
      <c r="B105" s="65" t="s">
        <v>180</v>
      </c>
      <c r="C105" s="64">
        <f t="shared" si="1"/>
        <v>1565</v>
      </c>
      <c r="D105" s="70">
        <v>1565</v>
      </c>
      <c r="E105" s="70"/>
      <c r="F105" s="70"/>
    </row>
    <row r="106" spans="1:6" s="59" customFormat="1">
      <c r="A106" s="64">
        <v>97</v>
      </c>
      <c r="B106" s="65" t="s">
        <v>181</v>
      </c>
      <c r="C106" s="64">
        <f t="shared" si="1"/>
        <v>2665</v>
      </c>
      <c r="D106" s="70">
        <v>2665</v>
      </c>
      <c r="E106" s="70"/>
      <c r="F106" s="70"/>
    </row>
    <row r="107" spans="1:6" s="59" customFormat="1">
      <c r="A107" s="64">
        <v>98</v>
      </c>
      <c r="B107" s="65" t="s">
        <v>182</v>
      </c>
      <c r="C107" s="64">
        <f t="shared" si="1"/>
        <v>1256</v>
      </c>
      <c r="D107" s="70">
        <v>1256</v>
      </c>
      <c r="E107" s="70"/>
      <c r="F107" s="70"/>
    </row>
    <row r="108" spans="1:6" s="59" customFormat="1" ht="25.5">
      <c r="A108" s="64">
        <v>99</v>
      </c>
      <c r="B108" s="68" t="s">
        <v>184</v>
      </c>
      <c r="C108" s="64">
        <f t="shared" si="1"/>
        <v>1009</v>
      </c>
      <c r="D108" s="70">
        <v>1009</v>
      </c>
      <c r="E108" s="70"/>
      <c r="F108" s="70"/>
    </row>
    <row r="109" spans="1:6" s="59" customFormat="1">
      <c r="A109" s="64">
        <v>100</v>
      </c>
      <c r="B109" s="65" t="s">
        <v>185</v>
      </c>
      <c r="C109" s="64">
        <f t="shared" si="1"/>
        <v>374</v>
      </c>
      <c r="D109" s="70">
        <v>374</v>
      </c>
      <c r="E109" s="70"/>
      <c r="F109" s="70"/>
    </row>
    <row r="110" spans="1:6" s="59" customFormat="1">
      <c r="A110" s="64">
        <v>101</v>
      </c>
      <c r="B110" s="65" t="s">
        <v>187</v>
      </c>
      <c r="C110" s="64">
        <f t="shared" si="1"/>
        <v>321</v>
      </c>
      <c r="D110" s="70">
        <v>321</v>
      </c>
      <c r="E110" s="70"/>
      <c r="F110" s="70"/>
    </row>
    <row r="111" spans="1:6" s="59" customFormat="1">
      <c r="A111" s="64">
        <v>102</v>
      </c>
      <c r="B111" s="65" t="s">
        <v>224</v>
      </c>
      <c r="C111" s="64">
        <f t="shared" si="1"/>
        <v>806</v>
      </c>
      <c r="D111" s="70">
        <v>806</v>
      </c>
      <c r="E111" s="70"/>
      <c r="F111" s="70"/>
    </row>
    <row r="112" spans="1:6" s="59" customFormat="1">
      <c r="A112" s="64">
        <v>103</v>
      </c>
      <c r="B112" s="65" t="s">
        <v>225</v>
      </c>
      <c r="C112" s="64">
        <f t="shared" si="1"/>
        <v>500</v>
      </c>
      <c r="D112" s="70">
        <v>500</v>
      </c>
      <c r="E112" s="70">
        <v>500</v>
      </c>
      <c r="F112" s="70"/>
    </row>
    <row r="113" spans="1:6" s="59" customFormat="1">
      <c r="A113" s="64">
        <v>104</v>
      </c>
      <c r="B113" s="65" t="s">
        <v>226</v>
      </c>
      <c r="C113" s="64">
        <f t="shared" si="1"/>
        <v>40</v>
      </c>
      <c r="D113" s="70">
        <v>40</v>
      </c>
      <c r="E113" s="70"/>
      <c r="F113" s="70"/>
    </row>
    <row r="114" spans="1:6" s="59" customFormat="1">
      <c r="A114" s="64">
        <v>105</v>
      </c>
      <c r="B114" s="65" t="s">
        <v>227</v>
      </c>
      <c r="C114" s="64">
        <f t="shared" si="1"/>
        <v>5711</v>
      </c>
      <c r="D114" s="70">
        <f>5722-11</f>
        <v>5711</v>
      </c>
      <c r="E114" s="70"/>
      <c r="F114" s="70"/>
    </row>
    <row r="115" spans="1:6" s="59" customFormat="1">
      <c r="A115" s="64">
        <v>106</v>
      </c>
      <c r="B115" s="65" t="s">
        <v>228</v>
      </c>
      <c r="C115" s="64">
        <f t="shared" si="1"/>
        <v>500</v>
      </c>
      <c r="D115" s="70">
        <v>500</v>
      </c>
      <c r="E115" s="70">
        <v>500</v>
      </c>
      <c r="F115" s="70"/>
    </row>
    <row r="116" spans="1:6" s="59" customFormat="1">
      <c r="A116" s="64">
        <v>107</v>
      </c>
      <c r="B116" s="59" t="s">
        <v>192</v>
      </c>
      <c r="C116" s="64">
        <f t="shared" si="1"/>
        <v>40</v>
      </c>
      <c r="D116" s="70">
        <v>40</v>
      </c>
      <c r="E116" s="70"/>
      <c r="F116" s="70"/>
    </row>
    <row r="117" spans="1:6" s="59" customFormat="1">
      <c r="A117" s="64">
        <v>108</v>
      </c>
      <c r="B117" s="65" t="s">
        <v>229</v>
      </c>
      <c r="C117" s="64">
        <f t="shared" si="1"/>
        <v>1044</v>
      </c>
      <c r="D117" s="70">
        <v>1044</v>
      </c>
      <c r="E117" s="70"/>
      <c r="F117" s="70"/>
    </row>
    <row r="118" spans="1:6" s="59" customFormat="1">
      <c r="A118" s="64">
        <v>109</v>
      </c>
      <c r="B118" s="65" t="s">
        <v>230</v>
      </c>
      <c r="C118" s="64">
        <f t="shared" si="1"/>
        <v>540</v>
      </c>
      <c r="D118" s="70">
        <v>540</v>
      </c>
      <c r="E118" s="70">
        <v>500</v>
      </c>
      <c r="F118" s="70"/>
    </row>
    <row r="119" spans="1:6" s="59" customFormat="1">
      <c r="A119" s="64">
        <v>110</v>
      </c>
      <c r="B119" s="65" t="s">
        <v>231</v>
      </c>
      <c r="C119" s="64">
        <f t="shared" si="1"/>
        <v>2395</v>
      </c>
      <c r="D119" s="70">
        <f>2400-5</f>
        <v>2395</v>
      </c>
      <c r="E119" s="70"/>
      <c r="F119" s="70"/>
    </row>
    <row r="120" spans="1:6" s="59" customFormat="1">
      <c r="A120" s="64">
        <v>111</v>
      </c>
      <c r="B120" s="65" t="s">
        <v>197</v>
      </c>
      <c r="C120" s="64">
        <f t="shared" si="1"/>
        <v>2181</v>
      </c>
      <c r="D120" s="70">
        <v>2181</v>
      </c>
      <c r="E120" s="70"/>
      <c r="F120" s="70"/>
    </row>
    <row r="121" spans="1:6" s="59" customFormat="1">
      <c r="A121" s="64">
        <v>112</v>
      </c>
      <c r="B121" s="65" t="s">
        <v>198</v>
      </c>
      <c r="C121" s="64">
        <f t="shared" si="1"/>
        <v>5000</v>
      </c>
      <c r="D121" s="70">
        <v>5000</v>
      </c>
      <c r="E121" s="70"/>
      <c r="F121" s="70"/>
    </row>
    <row r="122" spans="1:6" s="59" customFormat="1">
      <c r="A122" s="64">
        <v>113</v>
      </c>
      <c r="B122" s="65" t="s">
        <v>11</v>
      </c>
      <c r="C122" s="64">
        <f t="shared" si="1"/>
        <v>360</v>
      </c>
      <c r="D122" s="70">
        <v>360</v>
      </c>
      <c r="E122" s="70"/>
      <c r="F122" s="70"/>
    </row>
    <row r="123" spans="1:6" s="59" customFormat="1">
      <c r="A123" s="64">
        <v>114</v>
      </c>
      <c r="B123" s="65" t="s">
        <v>200</v>
      </c>
      <c r="C123" s="64">
        <f t="shared" si="1"/>
        <v>6960</v>
      </c>
      <c r="D123" s="70">
        <f>7000-40</f>
        <v>6960</v>
      </c>
      <c r="E123" s="70"/>
      <c r="F123" s="70"/>
    </row>
    <row r="124" spans="1:6" s="59" customFormat="1">
      <c r="A124" s="64">
        <v>115</v>
      </c>
      <c r="B124" s="65" t="s">
        <v>201</v>
      </c>
      <c r="C124" s="64">
        <f t="shared" si="1"/>
        <v>1724</v>
      </c>
      <c r="D124" s="70">
        <v>1724</v>
      </c>
      <c r="E124" s="70"/>
      <c r="F124" s="70"/>
    </row>
    <row r="125" spans="1:6" s="59" customFormat="1">
      <c r="A125" s="64">
        <v>116</v>
      </c>
      <c r="B125" s="65" t="s">
        <v>202</v>
      </c>
      <c r="C125" s="64">
        <f t="shared" si="1"/>
        <v>3321</v>
      </c>
      <c r="D125" s="70">
        <v>3321</v>
      </c>
      <c r="E125" s="70"/>
      <c r="F125" s="70"/>
    </row>
    <row r="126" spans="1:6" s="59" customFormat="1">
      <c r="A126" s="64">
        <v>117</v>
      </c>
      <c r="B126" s="65" t="s">
        <v>232</v>
      </c>
      <c r="C126" s="64">
        <f t="shared" si="1"/>
        <v>2176</v>
      </c>
      <c r="D126" s="70">
        <f>2676-500</f>
        <v>2176</v>
      </c>
      <c r="E126" s="70">
        <f>500-500</f>
        <v>0</v>
      </c>
      <c r="F126" s="70"/>
    </row>
    <row r="127" spans="1:6" s="59" customFormat="1">
      <c r="A127" s="64">
        <v>118</v>
      </c>
      <c r="B127" s="65" t="s">
        <v>204</v>
      </c>
      <c r="C127" s="64">
        <f t="shared" si="1"/>
        <v>500</v>
      </c>
      <c r="D127" s="70">
        <v>500</v>
      </c>
      <c r="E127" s="70">
        <v>500</v>
      </c>
      <c r="F127" s="70"/>
    </row>
    <row r="128" spans="1:6" s="59" customFormat="1">
      <c r="A128" s="64">
        <v>119</v>
      </c>
      <c r="B128" s="65" t="s">
        <v>205</v>
      </c>
      <c r="C128" s="64">
        <f t="shared" si="1"/>
        <v>850</v>
      </c>
      <c r="D128" s="70">
        <v>850</v>
      </c>
      <c r="E128" s="70"/>
      <c r="F128" s="70"/>
    </row>
    <row r="129" spans="1:6" s="59" customFormat="1">
      <c r="A129" s="64">
        <v>120</v>
      </c>
      <c r="B129" s="65" t="s">
        <v>10</v>
      </c>
      <c r="C129" s="64">
        <f t="shared" si="1"/>
        <v>600</v>
      </c>
      <c r="D129" s="70">
        <v>600</v>
      </c>
      <c r="E129" s="70"/>
      <c r="F129" s="70"/>
    </row>
    <row r="130" spans="1:6" s="59" customFormat="1">
      <c r="A130" s="64">
        <v>121</v>
      </c>
      <c r="B130" s="65" t="s">
        <v>206</v>
      </c>
      <c r="C130" s="64">
        <f t="shared" si="1"/>
        <v>3200</v>
      </c>
      <c r="D130" s="70">
        <v>3200</v>
      </c>
      <c r="E130" s="70"/>
      <c r="F130" s="70"/>
    </row>
    <row r="131" spans="1:6" s="67" customFormat="1" ht="24">
      <c r="A131" s="64">
        <v>122</v>
      </c>
      <c r="B131" s="40" t="s">
        <v>233</v>
      </c>
      <c r="C131" s="66">
        <f t="shared" si="1"/>
        <v>3450</v>
      </c>
      <c r="D131" s="71">
        <v>3450</v>
      </c>
      <c r="E131" s="72"/>
      <c r="F131" s="72"/>
    </row>
    <row r="132" spans="1:6" s="59" customFormat="1">
      <c r="A132" s="64">
        <v>123</v>
      </c>
      <c r="B132" s="65" t="s">
        <v>208</v>
      </c>
      <c r="C132" s="64">
        <f t="shared" si="1"/>
        <v>346</v>
      </c>
      <c r="D132" s="70">
        <v>346</v>
      </c>
      <c r="E132" s="70"/>
      <c r="F132" s="70"/>
    </row>
    <row r="133" spans="1:6" s="59" customFormat="1" ht="15.75" customHeight="1">
      <c r="A133" s="64">
        <v>124</v>
      </c>
      <c r="B133" s="68" t="s">
        <v>234</v>
      </c>
      <c r="C133" s="64">
        <f t="shared" si="1"/>
        <v>443</v>
      </c>
      <c r="D133" s="70"/>
      <c r="E133" s="70"/>
      <c r="F133" s="70">
        <f>F135+F136</f>
        <v>443</v>
      </c>
    </row>
    <row r="134" spans="1:6" s="59" customFormat="1">
      <c r="A134" s="73"/>
      <c r="B134" s="68" t="s">
        <v>235</v>
      </c>
      <c r="C134" s="64"/>
      <c r="D134" s="73"/>
      <c r="E134" s="73"/>
      <c r="F134" s="73"/>
    </row>
    <row r="135" spans="1:6" s="59" customFormat="1" ht="14.25" customHeight="1">
      <c r="A135" s="73"/>
      <c r="B135" s="68" t="s">
        <v>236</v>
      </c>
      <c r="C135" s="64">
        <f t="shared" ref="C135:C137" si="2">D135+F135</f>
        <v>383</v>
      </c>
      <c r="D135" s="73"/>
      <c r="E135" s="73"/>
      <c r="F135" s="70">
        <v>383</v>
      </c>
    </row>
    <row r="136" spans="1:6" s="59" customFormat="1" ht="13.5" customHeight="1">
      <c r="A136" s="73"/>
      <c r="B136" s="68" t="s">
        <v>237</v>
      </c>
      <c r="C136" s="64">
        <f t="shared" si="2"/>
        <v>60</v>
      </c>
      <c r="D136" s="73"/>
      <c r="E136" s="73"/>
      <c r="F136" s="70">
        <v>60</v>
      </c>
    </row>
    <row r="137" spans="1:6" s="59" customFormat="1">
      <c r="A137" s="73"/>
      <c r="B137" s="65" t="s">
        <v>209</v>
      </c>
      <c r="C137" s="64">
        <f t="shared" si="2"/>
        <v>311</v>
      </c>
      <c r="D137" s="70">
        <f>295+16</f>
        <v>311</v>
      </c>
      <c r="E137" s="73"/>
      <c r="F137" s="73"/>
    </row>
    <row r="138" spans="1:6" s="59" customFormat="1">
      <c r="A138" s="74"/>
      <c r="B138" s="75" t="s">
        <v>238</v>
      </c>
      <c r="C138" s="74">
        <f>SUM(C9:C133)+C137</f>
        <v>244031</v>
      </c>
      <c r="D138" s="74">
        <f t="shared" ref="D138:F138" si="3">SUM(D9:D133)+D137</f>
        <v>243588</v>
      </c>
      <c r="E138" s="74">
        <f t="shared" si="3"/>
        <v>2000</v>
      </c>
      <c r="F138" s="74">
        <f t="shared" si="3"/>
        <v>443</v>
      </c>
    </row>
    <row r="139" spans="1:6" s="59" customFormat="1">
      <c r="A139" s="76"/>
    </row>
  </sheetData>
  <mergeCells count="5">
    <mergeCell ref="A2:F3"/>
    <mergeCell ref="E5:F5"/>
    <mergeCell ref="A6:A7"/>
    <mergeCell ref="B6:B7"/>
    <mergeCell ref="C6:F6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8"/>
  <sheetViews>
    <sheetView zoomScale="90" zoomScaleNormal="90" zoomScaleSheetLayoutView="70" workbookViewId="0">
      <pane xSplit="1" ySplit="2" topLeftCell="F39" activePane="bottomRight" state="frozen"/>
      <selection pane="topRight" activeCell="E1" sqref="E1"/>
      <selection pane="bottomLeft" activeCell="A4" sqref="A4"/>
      <selection pane="bottomRight" sqref="A1:W1"/>
    </sheetView>
  </sheetViews>
  <sheetFormatPr defaultRowHeight="15"/>
  <cols>
    <col min="1" max="1" width="26.5703125" style="25" customWidth="1"/>
    <col min="2" max="2" width="8.85546875" customWidth="1"/>
    <col min="3" max="22" width="9.140625" customWidth="1"/>
    <col min="23" max="23" width="8.5703125" customWidth="1"/>
    <col min="24" max="24" width="15" hidden="1" customWidth="1"/>
    <col min="25" max="26" width="9.140625" hidden="1" customWidth="1"/>
    <col min="27" max="28" width="0" hidden="1" customWidth="1"/>
  </cols>
  <sheetData>
    <row r="1" spans="1:26" ht="42" customHeight="1">
      <c r="A1" s="147" t="s">
        <v>266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6" ht="111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261</v>
      </c>
      <c r="F2" s="5" t="s">
        <v>262</v>
      </c>
      <c r="G2" s="5" t="s">
        <v>263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203</v>
      </c>
      <c r="N2" s="5" t="s">
        <v>264</v>
      </c>
      <c r="O2" s="5" t="s">
        <v>247</v>
      </c>
      <c r="P2" s="5" t="s">
        <v>9</v>
      </c>
      <c r="Q2" s="5" t="s">
        <v>252</v>
      </c>
      <c r="R2" s="5" t="s">
        <v>10</v>
      </c>
      <c r="S2" s="5" t="s">
        <v>198</v>
      </c>
      <c r="T2" s="5" t="s">
        <v>11</v>
      </c>
      <c r="U2" s="5" t="s">
        <v>265</v>
      </c>
      <c r="V2" s="5" t="s">
        <v>185</v>
      </c>
      <c r="W2" s="5" t="s">
        <v>13</v>
      </c>
      <c r="X2" s="6" t="s">
        <v>14</v>
      </c>
    </row>
    <row r="3" spans="1:26">
      <c r="A3" s="7" t="s">
        <v>15</v>
      </c>
      <c r="B3" s="8">
        <f>B4+B5</f>
        <v>0</v>
      </c>
      <c r="C3" s="8">
        <f t="shared" ref="C3:W3" si="0">C4+C5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60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20</v>
      </c>
      <c r="P3" s="8">
        <f t="shared" si="0"/>
        <v>0</v>
      </c>
      <c r="Q3" s="8">
        <f t="shared" si="0"/>
        <v>100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40</v>
      </c>
      <c r="W3" s="8">
        <f t="shared" si="0"/>
        <v>220</v>
      </c>
      <c r="X3" s="9">
        <v>220</v>
      </c>
      <c r="Z3">
        <f>X3-W3</f>
        <v>0</v>
      </c>
    </row>
    <row r="4" spans="1:26" s="15" customFormat="1">
      <c r="A4" s="10">
        <v>1</v>
      </c>
      <c r="B4" s="11"/>
      <c r="C4" s="11"/>
      <c r="D4" s="12"/>
      <c r="E4" s="11"/>
      <c r="F4" s="11"/>
      <c r="G4" s="11"/>
      <c r="H4" s="11"/>
      <c r="I4" s="11"/>
      <c r="J4" s="11">
        <v>60</v>
      </c>
      <c r="K4" s="11"/>
      <c r="L4" s="11"/>
      <c r="M4" s="11"/>
      <c r="N4" s="11"/>
      <c r="O4" s="11">
        <v>15</v>
      </c>
      <c r="P4" s="11"/>
      <c r="Q4" s="11">
        <v>100</v>
      </c>
      <c r="R4" s="11"/>
      <c r="S4" s="11"/>
      <c r="T4" s="11"/>
      <c r="U4" s="11"/>
      <c r="V4" s="11">
        <v>25</v>
      </c>
      <c r="W4" s="13">
        <f>B4+C4+D4+E4+F4+G4+H4+I4+J4+K4+L4+M4+N4+O4+P4+Q4+R4+S4+T4+U4+V4</f>
        <v>200</v>
      </c>
      <c r="X4" s="14"/>
    </row>
    <row r="5" spans="1:26" s="15" customFormat="1">
      <c r="A5" s="16">
        <v>2</v>
      </c>
      <c r="B5" s="11"/>
      <c r="C5" s="11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>
        <v>5</v>
      </c>
      <c r="P5" s="11"/>
      <c r="Q5" s="11"/>
      <c r="R5" s="11"/>
      <c r="S5" s="11"/>
      <c r="T5" s="11"/>
      <c r="U5" s="11"/>
      <c r="V5" s="11">
        <v>15</v>
      </c>
      <c r="W5" s="13">
        <f>B5+C5+D5+E5+F5+G5+H5+I5+J5+K5+L5+M5+N5+O5+P5+Q5+R5+S5+T5+U5+V5</f>
        <v>20</v>
      </c>
      <c r="X5" s="14"/>
    </row>
    <row r="6" spans="1:26">
      <c r="A6" s="7" t="s">
        <v>16</v>
      </c>
      <c r="B6" s="8">
        <f>B7+B8</f>
        <v>0</v>
      </c>
      <c r="C6" s="8">
        <f t="shared" ref="C6:W6" si="1">C7+C8</f>
        <v>0</v>
      </c>
      <c r="D6" s="8">
        <f t="shared" si="1"/>
        <v>0</v>
      </c>
      <c r="E6" s="8">
        <f t="shared" si="1"/>
        <v>100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180</v>
      </c>
      <c r="J6" s="8">
        <f t="shared" si="1"/>
        <v>50</v>
      </c>
      <c r="K6" s="8">
        <f t="shared" si="1"/>
        <v>0</v>
      </c>
      <c r="L6" s="8">
        <f t="shared" si="1"/>
        <v>0</v>
      </c>
      <c r="M6" s="8">
        <f t="shared" si="1"/>
        <v>300</v>
      </c>
      <c r="N6" s="8">
        <f t="shared" si="1"/>
        <v>0</v>
      </c>
      <c r="O6" s="8">
        <f t="shared" si="1"/>
        <v>180</v>
      </c>
      <c r="P6" s="8">
        <f t="shared" si="1"/>
        <v>0</v>
      </c>
      <c r="Q6" s="8">
        <f t="shared" si="1"/>
        <v>400</v>
      </c>
      <c r="R6" s="8">
        <f t="shared" si="1"/>
        <v>0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8">
        <f t="shared" si="1"/>
        <v>300</v>
      </c>
      <c r="W6" s="8">
        <f t="shared" si="1"/>
        <v>1510</v>
      </c>
      <c r="X6" s="9">
        <v>1510</v>
      </c>
      <c r="Z6">
        <f>X6-W6</f>
        <v>0</v>
      </c>
    </row>
    <row r="7" spans="1:26" s="15" customFormat="1">
      <c r="A7" s="16">
        <v>3</v>
      </c>
      <c r="B7" s="11"/>
      <c r="C7" s="11"/>
      <c r="D7" s="11"/>
      <c r="E7" s="11">
        <v>100</v>
      </c>
      <c r="F7" s="11"/>
      <c r="G7" s="11"/>
      <c r="H7" s="11"/>
      <c r="I7" s="11">
        <v>120</v>
      </c>
      <c r="J7" s="11">
        <v>25</v>
      </c>
      <c r="K7" s="11"/>
      <c r="L7" s="11"/>
      <c r="M7" s="11">
        <v>250</v>
      </c>
      <c r="N7" s="11"/>
      <c r="O7" s="11">
        <v>150</v>
      </c>
      <c r="P7" s="11"/>
      <c r="Q7" s="11">
        <v>280</v>
      </c>
      <c r="R7" s="11"/>
      <c r="S7" s="11"/>
      <c r="T7" s="11"/>
      <c r="U7" s="11"/>
      <c r="V7" s="11">
        <v>300</v>
      </c>
      <c r="W7" s="13">
        <f t="shared" ref="W7:W8" si="2">B7+C7+D7+E7+F7+G7+H7+I7+J7+K7+L7+M7+N7+O7+P7+Q7+R7+S7+T7+U7+V7</f>
        <v>1225</v>
      </c>
      <c r="X7" s="14"/>
      <c r="Y7" s="15">
        <f>W7</f>
        <v>1225</v>
      </c>
    </row>
    <row r="8" spans="1:26" s="15" customFormat="1">
      <c r="A8" s="16">
        <v>4</v>
      </c>
      <c r="B8" s="11"/>
      <c r="C8" s="11"/>
      <c r="D8" s="12"/>
      <c r="E8" s="11"/>
      <c r="F8" s="11"/>
      <c r="G8" s="11"/>
      <c r="H8" s="11"/>
      <c r="I8" s="11">
        <v>60</v>
      </c>
      <c r="J8" s="11">
        <v>25</v>
      </c>
      <c r="K8" s="11"/>
      <c r="L8" s="11"/>
      <c r="M8" s="11">
        <v>50</v>
      </c>
      <c r="N8" s="11"/>
      <c r="O8" s="11">
        <v>30</v>
      </c>
      <c r="P8" s="11"/>
      <c r="Q8" s="11">
        <v>120</v>
      </c>
      <c r="R8" s="11"/>
      <c r="S8" s="11"/>
      <c r="T8" s="11"/>
      <c r="U8" s="11"/>
      <c r="V8" s="11"/>
      <c r="W8" s="13">
        <f t="shared" si="2"/>
        <v>285</v>
      </c>
      <c r="X8" s="14"/>
    </row>
    <row r="9" spans="1:26">
      <c r="A9" s="7" t="s">
        <v>17</v>
      </c>
      <c r="B9" s="8">
        <f>B10</f>
        <v>0</v>
      </c>
      <c r="C9" s="8">
        <f t="shared" ref="C9:W9" si="3">C10</f>
        <v>0</v>
      </c>
      <c r="D9" s="8">
        <f t="shared" si="3"/>
        <v>0</v>
      </c>
      <c r="E9" s="8">
        <f t="shared" si="3"/>
        <v>0</v>
      </c>
      <c r="F9" s="8">
        <f t="shared" si="3"/>
        <v>0</v>
      </c>
      <c r="G9" s="8">
        <f t="shared" si="3"/>
        <v>0</v>
      </c>
      <c r="H9" s="8">
        <f t="shared" si="3"/>
        <v>0</v>
      </c>
      <c r="I9" s="8">
        <f t="shared" si="3"/>
        <v>0</v>
      </c>
      <c r="J9" s="8">
        <f t="shared" si="3"/>
        <v>36</v>
      </c>
      <c r="K9" s="8">
        <f t="shared" si="3"/>
        <v>0</v>
      </c>
      <c r="L9" s="8">
        <f t="shared" si="3"/>
        <v>0</v>
      </c>
      <c r="M9" s="8">
        <f t="shared" si="3"/>
        <v>0</v>
      </c>
      <c r="N9" s="8">
        <f t="shared" si="3"/>
        <v>0</v>
      </c>
      <c r="O9" s="8">
        <f t="shared" si="3"/>
        <v>0</v>
      </c>
      <c r="P9" s="8">
        <f t="shared" si="3"/>
        <v>0</v>
      </c>
      <c r="Q9" s="8">
        <f t="shared" si="3"/>
        <v>50</v>
      </c>
      <c r="R9" s="8">
        <f t="shared" si="3"/>
        <v>0</v>
      </c>
      <c r="S9" s="8">
        <f t="shared" si="3"/>
        <v>0</v>
      </c>
      <c r="T9" s="8">
        <f t="shared" si="3"/>
        <v>0</v>
      </c>
      <c r="U9" s="8">
        <f t="shared" si="3"/>
        <v>25</v>
      </c>
      <c r="V9" s="8">
        <f t="shared" si="3"/>
        <v>25</v>
      </c>
      <c r="W9" s="8">
        <f t="shared" si="3"/>
        <v>136</v>
      </c>
      <c r="X9" s="9">
        <v>136</v>
      </c>
      <c r="Z9">
        <f>X9-W9</f>
        <v>0</v>
      </c>
    </row>
    <row r="10" spans="1:26" s="15" customFormat="1">
      <c r="A10" s="16">
        <v>5</v>
      </c>
      <c r="B10" s="11"/>
      <c r="C10" s="11"/>
      <c r="D10" s="12"/>
      <c r="E10" s="11"/>
      <c r="F10" s="11"/>
      <c r="G10" s="11"/>
      <c r="H10" s="11"/>
      <c r="I10" s="11"/>
      <c r="J10" s="11">
        <v>36</v>
      </c>
      <c r="K10" s="11"/>
      <c r="L10" s="11"/>
      <c r="M10" s="11"/>
      <c r="N10" s="11"/>
      <c r="O10" s="11"/>
      <c r="P10" s="11"/>
      <c r="Q10" s="11">
        <v>50</v>
      </c>
      <c r="R10" s="11"/>
      <c r="S10" s="11"/>
      <c r="T10" s="11"/>
      <c r="U10" s="11">
        <v>25</v>
      </c>
      <c r="V10" s="11">
        <v>25</v>
      </c>
      <c r="W10" s="13">
        <f>B10+C10+D10+E10+F10+G10+H10+I10+J10+K10+L10+M10+N10+O10+P10+Q10+R10+S10+T10+U10+V10</f>
        <v>136</v>
      </c>
      <c r="X10" s="14"/>
      <c r="Y10" s="15">
        <f>W10</f>
        <v>136</v>
      </c>
    </row>
    <row r="11" spans="1:26">
      <c r="A11" s="7" t="s">
        <v>18</v>
      </c>
      <c r="B11" s="8">
        <f>B12+B13</f>
        <v>0</v>
      </c>
      <c r="C11" s="8">
        <f t="shared" ref="C11:Z11" si="4">C12+C13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4"/>
        <v>10</v>
      </c>
      <c r="H11" s="8">
        <f t="shared" si="4"/>
        <v>0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8">
        <f t="shared" si="4"/>
        <v>0</v>
      </c>
      <c r="P11" s="8">
        <f t="shared" si="4"/>
        <v>0</v>
      </c>
      <c r="Q11" s="8">
        <f t="shared" si="4"/>
        <v>40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25</v>
      </c>
      <c r="V11" s="8">
        <f t="shared" si="4"/>
        <v>50</v>
      </c>
      <c r="W11" s="8">
        <f t="shared" si="4"/>
        <v>125</v>
      </c>
      <c r="X11" s="9">
        <f t="shared" si="4"/>
        <v>0</v>
      </c>
      <c r="Y11">
        <f t="shared" si="4"/>
        <v>125</v>
      </c>
      <c r="Z11">
        <f t="shared" si="4"/>
        <v>0</v>
      </c>
    </row>
    <row r="12" spans="1:26" s="15" customFormat="1">
      <c r="A12" s="16">
        <v>6</v>
      </c>
      <c r="B12" s="11"/>
      <c r="C12" s="11"/>
      <c r="D12" s="12"/>
      <c r="E12" s="11"/>
      <c r="F12" s="11"/>
      <c r="G12" s="11">
        <v>10</v>
      </c>
      <c r="H12" s="11"/>
      <c r="I12" s="11"/>
      <c r="J12" s="11"/>
      <c r="K12" s="11"/>
      <c r="L12" s="11"/>
      <c r="M12" s="11"/>
      <c r="N12" s="11"/>
      <c r="O12" s="11"/>
      <c r="P12" s="11"/>
      <c r="Q12" s="11">
        <v>40</v>
      </c>
      <c r="R12" s="11"/>
      <c r="S12" s="11"/>
      <c r="T12" s="11"/>
      <c r="U12" s="11">
        <v>25</v>
      </c>
      <c r="V12" s="11">
        <v>50</v>
      </c>
      <c r="W12" s="13">
        <f t="shared" ref="W12:W13" si="5">B12+C12+D12+E12+F12+G12+H12+I12+J12+K12+L12+M12+N12+O12+P12+Q12+R12+S12+T12+U12+V12</f>
        <v>125</v>
      </c>
      <c r="X12" s="14"/>
      <c r="Y12" s="15">
        <f>W12</f>
        <v>125</v>
      </c>
    </row>
    <row r="13" spans="1:26" s="15" customFormat="1">
      <c r="A13" s="16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3">
        <f t="shared" si="5"/>
        <v>0</v>
      </c>
      <c r="X13" s="14"/>
    </row>
    <row r="14" spans="1:26" ht="30">
      <c r="A14" s="7" t="s">
        <v>19</v>
      </c>
      <c r="B14" s="8">
        <f>B15</f>
        <v>0</v>
      </c>
      <c r="C14" s="8">
        <f t="shared" ref="C14:Z14" si="6">C15</f>
        <v>0</v>
      </c>
      <c r="D14" s="8">
        <f t="shared" si="6"/>
        <v>0</v>
      </c>
      <c r="E14" s="8">
        <f t="shared" si="6"/>
        <v>0</v>
      </c>
      <c r="F14" s="8">
        <f t="shared" si="6"/>
        <v>0</v>
      </c>
      <c r="G14" s="8">
        <f t="shared" si="6"/>
        <v>0</v>
      </c>
      <c r="H14" s="8">
        <f t="shared" si="6"/>
        <v>0</v>
      </c>
      <c r="I14" s="8">
        <f t="shared" si="6"/>
        <v>0</v>
      </c>
      <c r="J14" s="8">
        <f t="shared" si="6"/>
        <v>0</v>
      </c>
      <c r="K14" s="8">
        <f t="shared" si="6"/>
        <v>0</v>
      </c>
      <c r="L14" s="8">
        <f t="shared" si="6"/>
        <v>0</v>
      </c>
      <c r="M14" s="8">
        <f t="shared" si="6"/>
        <v>0</v>
      </c>
      <c r="N14" s="8">
        <f t="shared" si="6"/>
        <v>0</v>
      </c>
      <c r="O14" s="8">
        <f t="shared" si="6"/>
        <v>0</v>
      </c>
      <c r="P14" s="8">
        <f t="shared" si="6"/>
        <v>0</v>
      </c>
      <c r="Q14" s="8">
        <f t="shared" si="6"/>
        <v>0</v>
      </c>
      <c r="R14" s="8">
        <f t="shared" si="6"/>
        <v>0</v>
      </c>
      <c r="S14" s="8">
        <f t="shared" si="6"/>
        <v>0</v>
      </c>
      <c r="T14" s="8">
        <f t="shared" si="6"/>
        <v>0</v>
      </c>
      <c r="U14" s="8">
        <f t="shared" si="6"/>
        <v>7</v>
      </c>
      <c r="V14" s="8">
        <f t="shared" si="6"/>
        <v>0</v>
      </c>
      <c r="W14" s="8">
        <f t="shared" si="6"/>
        <v>7</v>
      </c>
      <c r="X14" s="9">
        <f t="shared" si="6"/>
        <v>0</v>
      </c>
      <c r="Y14">
        <f t="shared" si="6"/>
        <v>7</v>
      </c>
      <c r="Z14">
        <f t="shared" si="6"/>
        <v>0</v>
      </c>
    </row>
    <row r="15" spans="1:26" s="15" customFormat="1">
      <c r="A15" s="16">
        <v>8</v>
      </c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v>7</v>
      </c>
      <c r="V15" s="11"/>
      <c r="W15" s="13">
        <f>B15+C15+D15+E15+F15+G15+H15+I15+J15+K15+L15+M15+N15+O15+P15+Q15+R15+S15+T15+U15+V15</f>
        <v>7</v>
      </c>
      <c r="X15" s="14"/>
      <c r="Y15" s="15">
        <f>W15</f>
        <v>7</v>
      </c>
    </row>
    <row r="16" spans="1:26">
      <c r="A16" s="7" t="s">
        <v>20</v>
      </c>
      <c r="B16" s="8">
        <f t="shared" ref="B16:Z16" si="7">B17</f>
        <v>0</v>
      </c>
      <c r="C16" s="8">
        <f t="shared" si="7"/>
        <v>0</v>
      </c>
      <c r="D16" s="8">
        <f t="shared" si="7"/>
        <v>0</v>
      </c>
      <c r="E16" s="8">
        <f t="shared" si="7"/>
        <v>0</v>
      </c>
      <c r="F16" s="8">
        <f t="shared" si="7"/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0</v>
      </c>
      <c r="N16" s="8">
        <f t="shared" si="7"/>
        <v>0</v>
      </c>
      <c r="O16" s="8">
        <f t="shared" si="7"/>
        <v>0</v>
      </c>
      <c r="P16" s="8">
        <f t="shared" si="7"/>
        <v>52</v>
      </c>
      <c r="Q16" s="8">
        <f t="shared" si="7"/>
        <v>0</v>
      </c>
      <c r="R16" s="8">
        <f t="shared" si="7"/>
        <v>0</v>
      </c>
      <c r="S16" s="8">
        <f t="shared" si="7"/>
        <v>0</v>
      </c>
      <c r="T16" s="8">
        <f t="shared" si="7"/>
        <v>0</v>
      </c>
      <c r="U16" s="8">
        <f t="shared" si="7"/>
        <v>0</v>
      </c>
      <c r="V16" s="8">
        <f t="shared" si="7"/>
        <v>0</v>
      </c>
      <c r="W16" s="8">
        <f t="shared" si="7"/>
        <v>52</v>
      </c>
      <c r="X16" s="9">
        <f t="shared" si="7"/>
        <v>0</v>
      </c>
      <c r="Y16">
        <f t="shared" si="7"/>
        <v>52</v>
      </c>
      <c r="Z16">
        <f t="shared" si="7"/>
        <v>0</v>
      </c>
    </row>
    <row r="17" spans="1:28" s="15" customFormat="1">
      <c r="A17" s="16">
        <v>9</v>
      </c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52</v>
      </c>
      <c r="Q17" s="11"/>
      <c r="R17" s="11"/>
      <c r="S17" s="11"/>
      <c r="T17" s="11"/>
      <c r="U17" s="11"/>
      <c r="V17" s="11"/>
      <c r="W17" s="13">
        <f>B17+C17+D17+E17+F17+G17+H17+I17+J17+K17+L17+M17+N17+O17+P17+Q17+R17+S17+T17+U17+V17</f>
        <v>52</v>
      </c>
      <c r="X17" s="14"/>
      <c r="Y17" s="15">
        <f>W17</f>
        <v>52</v>
      </c>
    </row>
    <row r="18" spans="1:28">
      <c r="A18" s="7" t="s">
        <v>21</v>
      </c>
      <c r="B18" s="8">
        <f>B19+B20</f>
        <v>0</v>
      </c>
      <c r="C18" s="8">
        <f t="shared" ref="C18:AB18" si="8">C19+C20</f>
        <v>0</v>
      </c>
      <c r="D18" s="8">
        <f t="shared" si="8"/>
        <v>0</v>
      </c>
      <c r="E18" s="8">
        <f t="shared" si="8"/>
        <v>0</v>
      </c>
      <c r="F18" s="8">
        <f t="shared" si="8"/>
        <v>0</v>
      </c>
      <c r="G18" s="8">
        <f t="shared" si="8"/>
        <v>0</v>
      </c>
      <c r="H18" s="8">
        <f t="shared" si="8"/>
        <v>0</v>
      </c>
      <c r="I18" s="8">
        <f t="shared" si="8"/>
        <v>100</v>
      </c>
      <c r="J18" s="8">
        <f t="shared" si="8"/>
        <v>0</v>
      </c>
      <c r="K18" s="8">
        <f t="shared" si="8"/>
        <v>0</v>
      </c>
      <c r="L18" s="8">
        <f t="shared" si="8"/>
        <v>0</v>
      </c>
      <c r="M18" s="8">
        <f t="shared" si="8"/>
        <v>0</v>
      </c>
      <c r="N18" s="8">
        <f t="shared" si="8"/>
        <v>0</v>
      </c>
      <c r="O18" s="8">
        <f t="shared" si="8"/>
        <v>0</v>
      </c>
      <c r="P18" s="8">
        <f t="shared" si="8"/>
        <v>0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8">
        <f t="shared" si="8"/>
        <v>0</v>
      </c>
      <c r="V18" s="8">
        <f t="shared" si="8"/>
        <v>0</v>
      </c>
      <c r="W18" s="8">
        <f t="shared" si="8"/>
        <v>100</v>
      </c>
      <c r="X18" s="9">
        <f t="shared" si="8"/>
        <v>0</v>
      </c>
      <c r="Y18">
        <f t="shared" si="8"/>
        <v>100</v>
      </c>
      <c r="Z18">
        <f t="shared" si="8"/>
        <v>0</v>
      </c>
      <c r="AA18">
        <f t="shared" si="8"/>
        <v>0</v>
      </c>
      <c r="AB18">
        <f t="shared" si="8"/>
        <v>0</v>
      </c>
    </row>
    <row r="19" spans="1:28" s="15" customFormat="1">
      <c r="A19" s="16">
        <v>10</v>
      </c>
      <c r="B19" s="11"/>
      <c r="C19" s="11"/>
      <c r="D19" s="12"/>
      <c r="E19" s="11"/>
      <c r="F19" s="11"/>
      <c r="G19" s="11"/>
      <c r="H19" s="11"/>
      <c r="I19" s="11">
        <v>90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3">
        <f t="shared" ref="W19:W20" si="9">B19+C19+D19+E19+F19+G19+H19+I19+J19+K19+L19+M19+N19+O19+P19+Q19+R19+S19+T19+U19+V19</f>
        <v>90</v>
      </c>
      <c r="X19" s="14"/>
      <c r="Y19" s="15">
        <f>W19</f>
        <v>90</v>
      </c>
    </row>
    <row r="20" spans="1:28" s="15" customFormat="1">
      <c r="A20" s="16">
        <v>11</v>
      </c>
      <c r="B20" s="11"/>
      <c r="C20" s="11"/>
      <c r="D20" s="12"/>
      <c r="E20" s="11"/>
      <c r="F20" s="11"/>
      <c r="G20" s="11"/>
      <c r="H20" s="11"/>
      <c r="I20" s="11">
        <v>10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3">
        <f t="shared" si="9"/>
        <v>10</v>
      </c>
      <c r="X20" s="14"/>
      <c r="Y20" s="15">
        <f>W20</f>
        <v>10</v>
      </c>
    </row>
    <row r="21" spans="1:28" s="15" customFormat="1">
      <c r="A21" s="7" t="s">
        <v>22</v>
      </c>
      <c r="B21" s="7">
        <f>B22+B23+B24+B25+B26+B27</f>
        <v>103</v>
      </c>
      <c r="C21" s="7">
        <f t="shared" ref="C21:Z21" si="10">C22+C23+C24+C25+C26+C27</f>
        <v>0</v>
      </c>
      <c r="D21" s="7">
        <f t="shared" si="10"/>
        <v>0</v>
      </c>
      <c r="E21" s="7">
        <f t="shared" si="10"/>
        <v>0</v>
      </c>
      <c r="F21" s="7">
        <f t="shared" si="10"/>
        <v>0</v>
      </c>
      <c r="G21" s="7">
        <f t="shared" si="10"/>
        <v>0</v>
      </c>
      <c r="H21" s="7">
        <f t="shared" si="10"/>
        <v>26</v>
      </c>
      <c r="I21" s="7">
        <f t="shared" si="10"/>
        <v>0</v>
      </c>
      <c r="J21" s="7">
        <f t="shared" si="10"/>
        <v>152</v>
      </c>
      <c r="K21" s="7">
        <f t="shared" si="10"/>
        <v>170</v>
      </c>
      <c r="L21" s="7">
        <f t="shared" si="10"/>
        <v>0</v>
      </c>
      <c r="M21" s="7">
        <f t="shared" si="10"/>
        <v>0</v>
      </c>
      <c r="N21" s="7">
        <f t="shared" si="10"/>
        <v>0</v>
      </c>
      <c r="O21" s="7">
        <f t="shared" si="10"/>
        <v>0</v>
      </c>
      <c r="P21" s="7">
        <f t="shared" si="10"/>
        <v>0</v>
      </c>
      <c r="Q21" s="7">
        <f t="shared" si="10"/>
        <v>385</v>
      </c>
      <c r="R21" s="7">
        <f t="shared" si="10"/>
        <v>0</v>
      </c>
      <c r="S21" s="7">
        <f t="shared" si="10"/>
        <v>0</v>
      </c>
      <c r="T21" s="7">
        <f t="shared" si="10"/>
        <v>0</v>
      </c>
      <c r="U21" s="7">
        <f t="shared" si="10"/>
        <v>120</v>
      </c>
      <c r="V21" s="17">
        <f t="shared" si="10"/>
        <v>50</v>
      </c>
      <c r="W21" s="17">
        <f t="shared" si="10"/>
        <v>1006</v>
      </c>
      <c r="X21" s="14">
        <f t="shared" si="10"/>
        <v>0</v>
      </c>
      <c r="Y21" s="15">
        <f t="shared" si="10"/>
        <v>0</v>
      </c>
      <c r="Z21" s="15">
        <f t="shared" si="10"/>
        <v>0</v>
      </c>
    </row>
    <row r="22" spans="1:28" s="15" customFormat="1">
      <c r="A22" s="16">
        <v>12</v>
      </c>
      <c r="B22" s="11">
        <v>80</v>
      </c>
      <c r="C22" s="11"/>
      <c r="D22" s="12"/>
      <c r="E22" s="12"/>
      <c r="F22" s="11"/>
      <c r="G22" s="11"/>
      <c r="H22" s="11">
        <v>6</v>
      </c>
      <c r="I22" s="11"/>
      <c r="J22" s="11">
        <v>136</v>
      </c>
      <c r="K22" s="11">
        <v>157</v>
      </c>
      <c r="L22" s="11"/>
      <c r="M22" s="11"/>
      <c r="N22" s="11"/>
      <c r="O22" s="11"/>
      <c r="P22" s="11"/>
      <c r="Q22" s="11">
        <v>320</v>
      </c>
      <c r="R22" s="11"/>
      <c r="S22" s="11"/>
      <c r="T22" s="11"/>
      <c r="U22" s="11">
        <v>60</v>
      </c>
      <c r="V22" s="11">
        <v>50</v>
      </c>
      <c r="W22" s="13">
        <f t="shared" ref="W22:W27" si="11">B22+C22+D22+E22+F22+G22+H22+I22+J22+K22+L22+M22+N22+O22+P22+Q22+R22+S22+T22+U22+V22</f>
        <v>809</v>
      </c>
      <c r="X22" s="18"/>
    </row>
    <row r="23" spans="1:28" s="15" customFormat="1">
      <c r="A23" s="16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>
        <v>3</v>
      </c>
      <c r="L23" s="11"/>
      <c r="M23" s="11"/>
      <c r="N23" s="11"/>
      <c r="O23" s="11"/>
      <c r="P23" s="11"/>
      <c r="Q23" s="11">
        <v>5</v>
      </c>
      <c r="R23" s="11"/>
      <c r="S23" s="11"/>
      <c r="T23" s="11"/>
      <c r="U23" s="11"/>
      <c r="V23" s="11"/>
      <c r="W23" s="13">
        <f t="shared" si="11"/>
        <v>8</v>
      </c>
      <c r="X23" s="14"/>
    </row>
    <row r="24" spans="1:28" s="15" customFormat="1">
      <c r="A24" s="16">
        <v>14</v>
      </c>
      <c r="B24" s="11">
        <v>3</v>
      </c>
      <c r="C24" s="11"/>
      <c r="D24" s="12"/>
      <c r="E24" s="11"/>
      <c r="F24" s="11"/>
      <c r="G24" s="11"/>
      <c r="H24" s="11"/>
      <c r="I24" s="11"/>
      <c r="J24" s="11">
        <v>10</v>
      </c>
      <c r="K24" s="11">
        <v>10</v>
      </c>
      <c r="L24" s="11"/>
      <c r="M24" s="11"/>
      <c r="N24" s="11"/>
      <c r="O24" s="11"/>
      <c r="P24" s="11"/>
      <c r="Q24" s="11">
        <v>15</v>
      </c>
      <c r="R24" s="11"/>
      <c r="S24" s="11"/>
      <c r="T24" s="11"/>
      <c r="U24" s="11"/>
      <c r="V24" s="11"/>
      <c r="W24" s="13">
        <f t="shared" si="11"/>
        <v>38</v>
      </c>
      <c r="X24" s="14"/>
    </row>
    <row r="25" spans="1:28" s="15" customFormat="1">
      <c r="A25" s="16">
        <v>15</v>
      </c>
      <c r="B25" s="11">
        <v>0</v>
      </c>
      <c r="C25" s="11"/>
      <c r="D25" s="12"/>
      <c r="E25" s="11"/>
      <c r="F25" s="11"/>
      <c r="G25" s="11"/>
      <c r="H25" s="11">
        <v>20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60</v>
      </c>
      <c r="V25" s="11"/>
      <c r="W25" s="13">
        <f t="shared" si="11"/>
        <v>80</v>
      </c>
      <c r="X25" s="14"/>
    </row>
    <row r="26" spans="1:28" s="15" customFormat="1">
      <c r="A26" s="16">
        <v>16</v>
      </c>
      <c r="B26" s="11">
        <v>5</v>
      </c>
      <c r="C26" s="11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15</v>
      </c>
      <c r="R26" s="11"/>
      <c r="S26" s="11"/>
      <c r="T26" s="11"/>
      <c r="U26" s="11"/>
      <c r="V26" s="11"/>
      <c r="W26" s="13">
        <f t="shared" si="11"/>
        <v>20</v>
      </c>
      <c r="X26" s="14"/>
    </row>
    <row r="27" spans="1:28" s="15" customFormat="1">
      <c r="A27" s="16">
        <v>17</v>
      </c>
      <c r="B27" s="11">
        <v>15</v>
      </c>
      <c r="C27" s="11"/>
      <c r="D27" s="12"/>
      <c r="E27" s="11"/>
      <c r="F27" s="11"/>
      <c r="G27" s="11"/>
      <c r="H27" s="11"/>
      <c r="I27" s="11"/>
      <c r="J27" s="11">
        <v>6</v>
      </c>
      <c r="K27" s="11"/>
      <c r="L27" s="11"/>
      <c r="M27" s="11"/>
      <c r="N27" s="11"/>
      <c r="O27" s="11"/>
      <c r="P27" s="11"/>
      <c r="Q27" s="11">
        <v>30</v>
      </c>
      <c r="R27" s="11"/>
      <c r="S27" s="11"/>
      <c r="T27" s="11"/>
      <c r="U27" s="11"/>
      <c r="V27" s="11"/>
      <c r="W27" s="13">
        <f t="shared" si="11"/>
        <v>51</v>
      </c>
      <c r="X27" s="14"/>
    </row>
    <row r="28" spans="1:28" s="15" customFormat="1">
      <c r="A28" s="7" t="s">
        <v>23</v>
      </c>
      <c r="B28" s="7">
        <f>B29+B30</f>
        <v>0</v>
      </c>
      <c r="C28" s="7">
        <f t="shared" ref="C28:AB28" si="12">C29+C30</f>
        <v>0</v>
      </c>
      <c r="D28" s="7">
        <f t="shared" si="12"/>
        <v>0</v>
      </c>
      <c r="E28" s="7">
        <f t="shared" si="12"/>
        <v>40</v>
      </c>
      <c r="F28" s="7">
        <f t="shared" si="12"/>
        <v>0</v>
      </c>
      <c r="G28" s="7">
        <f t="shared" si="12"/>
        <v>0</v>
      </c>
      <c r="H28" s="7">
        <f t="shared" si="12"/>
        <v>120</v>
      </c>
      <c r="I28" s="7">
        <f t="shared" si="12"/>
        <v>0</v>
      </c>
      <c r="J28" s="7">
        <f t="shared" si="12"/>
        <v>0</v>
      </c>
      <c r="K28" s="7">
        <f t="shared" si="12"/>
        <v>0</v>
      </c>
      <c r="L28" s="7">
        <f t="shared" si="12"/>
        <v>0</v>
      </c>
      <c r="M28" s="7">
        <f t="shared" si="12"/>
        <v>360</v>
      </c>
      <c r="N28" s="7">
        <f t="shared" si="12"/>
        <v>0</v>
      </c>
      <c r="O28" s="7">
        <f t="shared" si="12"/>
        <v>0</v>
      </c>
      <c r="P28" s="7">
        <f t="shared" si="12"/>
        <v>0</v>
      </c>
      <c r="Q28" s="7">
        <f t="shared" si="12"/>
        <v>270</v>
      </c>
      <c r="R28" s="7">
        <f t="shared" si="12"/>
        <v>0</v>
      </c>
      <c r="S28" s="7">
        <f t="shared" si="12"/>
        <v>0</v>
      </c>
      <c r="T28" s="7">
        <f t="shared" si="12"/>
        <v>0</v>
      </c>
      <c r="U28" s="7">
        <f t="shared" si="12"/>
        <v>300</v>
      </c>
      <c r="V28" s="17">
        <f t="shared" si="12"/>
        <v>104</v>
      </c>
      <c r="W28" s="17">
        <f t="shared" si="12"/>
        <v>1194</v>
      </c>
      <c r="X28" s="14">
        <f t="shared" si="12"/>
        <v>0</v>
      </c>
      <c r="Y28" s="15">
        <f t="shared" si="12"/>
        <v>751</v>
      </c>
      <c r="Z28" s="15">
        <f t="shared" si="12"/>
        <v>0</v>
      </c>
      <c r="AA28" s="15">
        <f t="shared" si="12"/>
        <v>0</v>
      </c>
      <c r="AB28" s="15">
        <f t="shared" si="12"/>
        <v>0</v>
      </c>
    </row>
    <row r="29" spans="1:28" s="15" customFormat="1">
      <c r="A29" s="16">
        <v>18</v>
      </c>
      <c r="B29" s="11"/>
      <c r="C29" s="11"/>
      <c r="D29" s="11"/>
      <c r="E29" s="11">
        <v>20</v>
      </c>
      <c r="F29" s="11"/>
      <c r="G29" s="11"/>
      <c r="H29" s="11">
        <v>42</v>
      </c>
      <c r="I29" s="11"/>
      <c r="J29" s="11"/>
      <c r="K29" s="11"/>
      <c r="L29" s="11"/>
      <c r="M29" s="11">
        <v>180</v>
      </c>
      <c r="N29" s="11"/>
      <c r="O29" s="11"/>
      <c r="P29" s="11"/>
      <c r="Q29" s="11">
        <v>170</v>
      </c>
      <c r="R29" s="11"/>
      <c r="S29" s="11"/>
      <c r="T29" s="11"/>
      <c r="U29" s="11">
        <v>250</v>
      </c>
      <c r="V29" s="11">
        <v>89</v>
      </c>
      <c r="W29" s="13">
        <f t="shared" ref="W29:W30" si="13">B29+C29+D29+E29+F29+G29+H29+I29+J29+K29+L29+M29+N29+O29+P29+Q29+R29+S29+T29+U29+V29</f>
        <v>751</v>
      </c>
      <c r="X29" s="14"/>
      <c r="Y29" s="15">
        <f>W29</f>
        <v>751</v>
      </c>
    </row>
    <row r="30" spans="1:28" s="15" customFormat="1">
      <c r="A30" s="16">
        <v>19</v>
      </c>
      <c r="B30" s="11"/>
      <c r="C30" s="11"/>
      <c r="D30" s="11"/>
      <c r="E30" s="11">
        <v>20</v>
      </c>
      <c r="F30" s="11"/>
      <c r="G30" s="11"/>
      <c r="H30" s="11">
        <v>78</v>
      </c>
      <c r="I30" s="11"/>
      <c r="J30" s="11"/>
      <c r="K30" s="11"/>
      <c r="L30" s="11"/>
      <c r="M30" s="11">
        <v>180</v>
      </c>
      <c r="N30" s="11"/>
      <c r="O30" s="11"/>
      <c r="P30" s="11"/>
      <c r="Q30" s="11">
        <v>100</v>
      </c>
      <c r="R30" s="11"/>
      <c r="S30" s="11"/>
      <c r="T30" s="11"/>
      <c r="U30" s="11">
        <v>50</v>
      </c>
      <c r="V30" s="11">
        <v>15</v>
      </c>
      <c r="W30" s="13">
        <f t="shared" si="13"/>
        <v>443</v>
      </c>
      <c r="X30" s="14"/>
    </row>
    <row r="31" spans="1:28" s="15" customFormat="1">
      <c r="A31" s="7" t="s">
        <v>24</v>
      </c>
      <c r="B31" s="7">
        <f>B32+B33+B34</f>
        <v>0</v>
      </c>
      <c r="C31" s="7">
        <f t="shared" ref="C31:AB31" si="14">C32+C33+C34</f>
        <v>0</v>
      </c>
      <c r="D31" s="7">
        <f t="shared" si="14"/>
        <v>0</v>
      </c>
      <c r="E31" s="7">
        <f t="shared" si="14"/>
        <v>0</v>
      </c>
      <c r="F31" s="7">
        <f t="shared" si="14"/>
        <v>0</v>
      </c>
      <c r="G31" s="7">
        <f t="shared" si="14"/>
        <v>0</v>
      </c>
      <c r="H31" s="7">
        <f t="shared" si="14"/>
        <v>0</v>
      </c>
      <c r="I31" s="7">
        <f t="shared" si="14"/>
        <v>0</v>
      </c>
      <c r="J31" s="7">
        <f t="shared" si="14"/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7">
        <f t="shared" si="14"/>
        <v>101</v>
      </c>
      <c r="R31" s="7">
        <f t="shared" si="14"/>
        <v>0</v>
      </c>
      <c r="S31" s="7">
        <f t="shared" si="14"/>
        <v>1020</v>
      </c>
      <c r="T31" s="7">
        <f t="shared" si="14"/>
        <v>0</v>
      </c>
      <c r="U31" s="7">
        <f t="shared" si="14"/>
        <v>103</v>
      </c>
      <c r="V31" s="17">
        <f t="shared" si="14"/>
        <v>160</v>
      </c>
      <c r="W31" s="17">
        <f t="shared" si="14"/>
        <v>1384</v>
      </c>
      <c r="X31" s="14">
        <f t="shared" si="14"/>
        <v>0</v>
      </c>
      <c r="Y31" s="15">
        <f t="shared" si="14"/>
        <v>904</v>
      </c>
      <c r="Z31" s="15">
        <f t="shared" si="14"/>
        <v>0</v>
      </c>
      <c r="AA31" s="15">
        <f t="shared" si="14"/>
        <v>0</v>
      </c>
      <c r="AB31" s="15">
        <f t="shared" si="14"/>
        <v>0</v>
      </c>
    </row>
    <row r="32" spans="1:28" s="15" customFormat="1">
      <c r="A32" s="16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41</v>
      </c>
      <c r="R32" s="11"/>
      <c r="S32" s="11">
        <v>780</v>
      </c>
      <c r="T32" s="11"/>
      <c r="U32" s="11">
        <v>3</v>
      </c>
      <c r="V32" s="11">
        <v>80</v>
      </c>
      <c r="W32" s="13">
        <f t="shared" ref="W32:W34" si="15">B32+C32+D32+E32+F32+G32+H32+I32+J32+K32+L32+M32+N32+O32+P32+Q32+R32+S32+T32+U32+V32</f>
        <v>904</v>
      </c>
      <c r="X32" s="14"/>
      <c r="Y32" s="15">
        <f>W32</f>
        <v>904</v>
      </c>
    </row>
    <row r="33" spans="1:28" s="15" customFormat="1">
      <c r="A33" s="16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10</v>
      </c>
      <c r="W33" s="13">
        <f t="shared" si="15"/>
        <v>10</v>
      </c>
      <c r="X33" s="18"/>
    </row>
    <row r="34" spans="1:28" s="15" customFormat="1">
      <c r="A34" s="16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60</v>
      </c>
      <c r="R34" s="11"/>
      <c r="S34" s="11">
        <v>240</v>
      </c>
      <c r="T34" s="11"/>
      <c r="U34" s="11">
        <v>100</v>
      </c>
      <c r="V34" s="11">
        <v>70</v>
      </c>
      <c r="W34" s="13">
        <f t="shared" si="15"/>
        <v>470</v>
      </c>
      <c r="X34" s="14"/>
    </row>
    <row r="35" spans="1:28" s="15" customFormat="1">
      <c r="A35" s="7" t="s">
        <v>25</v>
      </c>
      <c r="B35" s="7">
        <f>B36+B37</f>
        <v>0</v>
      </c>
      <c r="C35" s="7">
        <f t="shared" ref="C35:AB35" si="16">C36+C37</f>
        <v>0</v>
      </c>
      <c r="D35" s="7">
        <f t="shared" si="16"/>
        <v>0</v>
      </c>
      <c r="E35" s="7">
        <f t="shared" si="16"/>
        <v>0</v>
      </c>
      <c r="F35" s="7">
        <f t="shared" si="16"/>
        <v>0</v>
      </c>
      <c r="G35" s="7">
        <f t="shared" si="16"/>
        <v>72</v>
      </c>
      <c r="H35" s="7">
        <f t="shared" si="16"/>
        <v>0</v>
      </c>
      <c r="I35" s="7">
        <f t="shared" si="16"/>
        <v>0</v>
      </c>
      <c r="J35" s="7">
        <f t="shared" si="16"/>
        <v>65</v>
      </c>
      <c r="K35" s="7">
        <f t="shared" si="16"/>
        <v>0</v>
      </c>
      <c r="L35" s="7">
        <f t="shared" si="16"/>
        <v>0</v>
      </c>
      <c r="M35" s="7">
        <f t="shared" si="16"/>
        <v>0</v>
      </c>
      <c r="N35" s="7">
        <f t="shared" si="16"/>
        <v>0</v>
      </c>
      <c r="O35" s="7">
        <f t="shared" si="16"/>
        <v>0</v>
      </c>
      <c r="P35" s="7">
        <f t="shared" si="16"/>
        <v>0</v>
      </c>
      <c r="Q35" s="7">
        <f t="shared" si="16"/>
        <v>110</v>
      </c>
      <c r="R35" s="7">
        <f t="shared" si="16"/>
        <v>0</v>
      </c>
      <c r="S35" s="7">
        <f t="shared" si="16"/>
        <v>0</v>
      </c>
      <c r="T35" s="7">
        <f t="shared" si="16"/>
        <v>0</v>
      </c>
      <c r="U35" s="7">
        <f t="shared" si="16"/>
        <v>50</v>
      </c>
      <c r="V35" s="17">
        <f t="shared" si="16"/>
        <v>0</v>
      </c>
      <c r="W35" s="17">
        <f t="shared" si="16"/>
        <v>297</v>
      </c>
      <c r="X35" s="14">
        <f t="shared" si="16"/>
        <v>0</v>
      </c>
      <c r="Y35" s="15">
        <f t="shared" si="16"/>
        <v>157</v>
      </c>
      <c r="Z35" s="15">
        <f t="shared" si="16"/>
        <v>0</v>
      </c>
      <c r="AA35" s="15">
        <f t="shared" si="16"/>
        <v>0</v>
      </c>
      <c r="AB35" s="15">
        <f t="shared" si="16"/>
        <v>0</v>
      </c>
    </row>
    <row r="36" spans="1:28" s="15" customFormat="1">
      <c r="A36" s="16">
        <v>23</v>
      </c>
      <c r="B36" s="11"/>
      <c r="C36" s="11"/>
      <c r="D36" s="11"/>
      <c r="E36" s="11"/>
      <c r="F36" s="11"/>
      <c r="G36" s="11">
        <v>42</v>
      </c>
      <c r="H36" s="11"/>
      <c r="I36" s="11"/>
      <c r="J36" s="11">
        <v>20</v>
      </c>
      <c r="K36" s="11"/>
      <c r="L36" s="11"/>
      <c r="M36" s="11"/>
      <c r="N36" s="11"/>
      <c r="O36" s="11"/>
      <c r="P36" s="11"/>
      <c r="Q36" s="11">
        <v>80</v>
      </c>
      <c r="R36" s="11"/>
      <c r="S36" s="11"/>
      <c r="T36" s="11"/>
      <c r="U36" s="11">
        <v>15</v>
      </c>
      <c r="V36" s="11"/>
      <c r="W36" s="13">
        <f t="shared" ref="W36:W37" si="17">B36+C36+D36+E36+F36+G36+H36+I36+J36+K36+L36+M36+N36+O36+P36+Q36+R36+S36+T36+U36+V36</f>
        <v>157</v>
      </c>
      <c r="X36" s="14"/>
      <c r="Y36" s="15">
        <f>W36</f>
        <v>157</v>
      </c>
    </row>
    <row r="37" spans="1:28" s="15" customFormat="1">
      <c r="A37" s="16">
        <v>24</v>
      </c>
      <c r="B37" s="11"/>
      <c r="C37" s="11"/>
      <c r="D37" s="11"/>
      <c r="E37" s="11"/>
      <c r="F37" s="11"/>
      <c r="G37" s="11">
        <v>30</v>
      </c>
      <c r="H37" s="11"/>
      <c r="I37" s="11"/>
      <c r="J37" s="11">
        <v>45</v>
      </c>
      <c r="K37" s="11"/>
      <c r="L37" s="11"/>
      <c r="M37" s="11"/>
      <c r="N37" s="11"/>
      <c r="O37" s="11"/>
      <c r="P37" s="11"/>
      <c r="Q37" s="11">
        <v>30</v>
      </c>
      <c r="R37" s="11"/>
      <c r="S37" s="11"/>
      <c r="T37" s="11"/>
      <c r="U37" s="11">
        <v>35</v>
      </c>
      <c r="V37" s="11"/>
      <c r="W37" s="13">
        <f t="shared" si="17"/>
        <v>140</v>
      </c>
      <c r="X37" s="14"/>
    </row>
    <row r="38" spans="1:28" s="15" customFormat="1">
      <c r="A38" s="7" t="s">
        <v>26</v>
      </c>
      <c r="B38" s="7">
        <f>B39+B40</f>
        <v>0</v>
      </c>
      <c r="C38" s="7">
        <f t="shared" ref="C38:AB38" si="18">C39+C40</f>
        <v>200</v>
      </c>
      <c r="D38" s="7">
        <f t="shared" si="18"/>
        <v>0</v>
      </c>
      <c r="E38" s="7">
        <f t="shared" si="18"/>
        <v>0</v>
      </c>
      <c r="F38" s="7">
        <f t="shared" si="18"/>
        <v>84</v>
      </c>
      <c r="G38" s="7">
        <f t="shared" si="18"/>
        <v>0</v>
      </c>
      <c r="H38" s="7">
        <f t="shared" si="18"/>
        <v>0</v>
      </c>
      <c r="I38" s="7">
        <f t="shared" si="18"/>
        <v>0</v>
      </c>
      <c r="J38" s="7">
        <f t="shared" si="18"/>
        <v>0</v>
      </c>
      <c r="K38" s="7">
        <f t="shared" si="18"/>
        <v>0</v>
      </c>
      <c r="L38" s="7">
        <f t="shared" si="18"/>
        <v>0</v>
      </c>
      <c r="M38" s="7">
        <f t="shared" si="18"/>
        <v>0</v>
      </c>
      <c r="N38" s="7">
        <f t="shared" si="18"/>
        <v>2660</v>
      </c>
      <c r="O38" s="7">
        <f t="shared" si="18"/>
        <v>0</v>
      </c>
      <c r="P38" s="7">
        <f t="shared" si="18"/>
        <v>0</v>
      </c>
      <c r="Q38" s="7">
        <f t="shared" si="18"/>
        <v>0</v>
      </c>
      <c r="R38" s="7">
        <f t="shared" si="18"/>
        <v>0</v>
      </c>
      <c r="S38" s="7">
        <f t="shared" si="18"/>
        <v>0</v>
      </c>
      <c r="T38" s="7">
        <f t="shared" si="18"/>
        <v>0</v>
      </c>
      <c r="U38" s="7">
        <f t="shared" si="18"/>
        <v>35</v>
      </c>
      <c r="V38" s="17">
        <f t="shared" si="18"/>
        <v>0</v>
      </c>
      <c r="W38" s="17">
        <f t="shared" si="18"/>
        <v>2979</v>
      </c>
      <c r="X38" s="14">
        <f t="shared" si="18"/>
        <v>0</v>
      </c>
      <c r="Y38" s="15">
        <f t="shared" si="18"/>
        <v>2954</v>
      </c>
      <c r="Z38" s="15">
        <f t="shared" si="18"/>
        <v>0</v>
      </c>
      <c r="AA38" s="15">
        <f t="shared" si="18"/>
        <v>0</v>
      </c>
      <c r="AB38" s="15">
        <f t="shared" si="18"/>
        <v>0</v>
      </c>
    </row>
    <row r="39" spans="1:28" s="15" customFormat="1">
      <c r="A39" s="16">
        <v>25</v>
      </c>
      <c r="B39" s="11"/>
      <c r="C39" s="11">
        <v>195</v>
      </c>
      <c r="D39" s="11"/>
      <c r="E39" s="11"/>
      <c r="F39" s="11">
        <v>84</v>
      </c>
      <c r="G39" s="11"/>
      <c r="H39" s="11"/>
      <c r="I39" s="11"/>
      <c r="J39" s="11"/>
      <c r="K39" s="11"/>
      <c r="L39" s="11"/>
      <c r="M39" s="11"/>
      <c r="N39" s="11">
        <v>2640</v>
      </c>
      <c r="O39" s="11"/>
      <c r="P39" s="11"/>
      <c r="Q39" s="11"/>
      <c r="R39" s="11"/>
      <c r="S39" s="11"/>
      <c r="T39" s="11"/>
      <c r="U39" s="11">
        <v>35</v>
      </c>
      <c r="V39" s="11"/>
      <c r="W39" s="13">
        <f t="shared" ref="W39:W40" si="19">B39+C39+D39+E39+F39+G39+H39+I39+J39+K39+L39+M39+N39+O39+P39+Q39+R39+S39+T39+U39+V39</f>
        <v>2954</v>
      </c>
      <c r="X39" s="14"/>
      <c r="Y39" s="15">
        <f>W39</f>
        <v>2954</v>
      </c>
    </row>
    <row r="40" spans="1:28" s="15" customFormat="1">
      <c r="A40" s="16">
        <v>26</v>
      </c>
      <c r="B40" s="11"/>
      <c r="C40" s="11">
        <v>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20</v>
      </c>
      <c r="O40" s="11"/>
      <c r="P40" s="11"/>
      <c r="Q40" s="11"/>
      <c r="R40" s="11"/>
      <c r="S40" s="11"/>
      <c r="T40" s="11"/>
      <c r="U40" s="11"/>
      <c r="V40" s="11"/>
      <c r="W40" s="13">
        <f t="shared" si="19"/>
        <v>25</v>
      </c>
      <c r="X40" s="14"/>
    </row>
    <row r="41" spans="1:28" s="15" customFormat="1">
      <c r="A41" s="7" t="s">
        <v>27</v>
      </c>
      <c r="B41" s="7">
        <f>B42+B43+B44</f>
        <v>0</v>
      </c>
      <c r="C41" s="7">
        <f t="shared" ref="C41:W41" si="20">C42+C43+C44</f>
        <v>0</v>
      </c>
      <c r="D41" s="7">
        <f t="shared" si="20"/>
        <v>0</v>
      </c>
      <c r="E41" s="7">
        <f t="shared" si="20"/>
        <v>0</v>
      </c>
      <c r="F41" s="7">
        <f t="shared" si="20"/>
        <v>0</v>
      </c>
      <c r="G41" s="7">
        <f t="shared" si="20"/>
        <v>0</v>
      </c>
      <c r="H41" s="7">
        <f t="shared" si="20"/>
        <v>0</v>
      </c>
      <c r="I41" s="7">
        <f t="shared" si="20"/>
        <v>0</v>
      </c>
      <c r="J41" s="7">
        <f t="shared" si="20"/>
        <v>0</v>
      </c>
      <c r="K41" s="7">
        <f t="shared" si="20"/>
        <v>0</v>
      </c>
      <c r="L41" s="7">
        <f t="shared" si="20"/>
        <v>0</v>
      </c>
      <c r="M41" s="7">
        <f t="shared" si="20"/>
        <v>0</v>
      </c>
      <c r="N41" s="7">
        <f t="shared" si="20"/>
        <v>0</v>
      </c>
      <c r="O41" s="7">
        <f t="shared" si="20"/>
        <v>0</v>
      </c>
      <c r="P41" s="7">
        <f t="shared" si="20"/>
        <v>0</v>
      </c>
      <c r="Q41" s="7">
        <f t="shared" si="20"/>
        <v>0</v>
      </c>
      <c r="R41" s="7">
        <f t="shared" si="20"/>
        <v>0</v>
      </c>
      <c r="S41" s="7">
        <f t="shared" si="20"/>
        <v>0</v>
      </c>
      <c r="T41" s="7">
        <f t="shared" si="20"/>
        <v>0</v>
      </c>
      <c r="U41" s="7">
        <f t="shared" si="20"/>
        <v>30</v>
      </c>
      <c r="V41" s="17">
        <f t="shared" si="20"/>
        <v>0</v>
      </c>
      <c r="W41" s="17">
        <f t="shared" si="20"/>
        <v>30</v>
      </c>
      <c r="X41" s="14">
        <v>30</v>
      </c>
    </row>
    <row r="42" spans="1:28" s="15" customFormat="1">
      <c r="A42" s="16">
        <v>27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>
        <v>5</v>
      </c>
      <c r="V42" s="11"/>
      <c r="W42" s="13">
        <f t="shared" ref="W42:W44" si="21">B42+C42+D42+E42+F42+G42+H42+I42+J42+K42+L42+M42+N42+O42+P42+Q42+R42+S42+T42+U42+V42</f>
        <v>5</v>
      </c>
      <c r="X42" s="14"/>
      <c r="Y42" s="15">
        <f>W42</f>
        <v>5</v>
      </c>
    </row>
    <row r="43" spans="1:28" s="15" customFormat="1">
      <c r="A43" s="16">
        <v>28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25</v>
      </c>
      <c r="V43" s="11"/>
      <c r="W43" s="13">
        <f t="shared" si="21"/>
        <v>25</v>
      </c>
      <c r="X43" s="14"/>
    </row>
    <row r="44" spans="1:28" s="15" customFormat="1">
      <c r="A44" s="10">
        <v>29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3">
        <f t="shared" si="21"/>
        <v>0</v>
      </c>
      <c r="X44" s="14"/>
    </row>
    <row r="45" spans="1:28" s="15" customFormat="1">
      <c r="A45" s="7" t="s">
        <v>28</v>
      </c>
      <c r="B45" s="7">
        <f>B46</f>
        <v>0</v>
      </c>
      <c r="C45" s="7">
        <f t="shared" ref="C45:W45" si="22">C46</f>
        <v>0</v>
      </c>
      <c r="D45" s="7">
        <f t="shared" si="22"/>
        <v>0</v>
      </c>
      <c r="E45" s="7">
        <f t="shared" si="22"/>
        <v>0</v>
      </c>
      <c r="F45" s="7">
        <f t="shared" si="22"/>
        <v>0</v>
      </c>
      <c r="G45" s="7">
        <f t="shared" si="22"/>
        <v>80</v>
      </c>
      <c r="H45" s="7">
        <f t="shared" si="22"/>
        <v>0</v>
      </c>
      <c r="I45" s="7">
        <f t="shared" si="22"/>
        <v>0</v>
      </c>
      <c r="J45" s="7">
        <f t="shared" si="22"/>
        <v>0</v>
      </c>
      <c r="K45" s="7">
        <f t="shared" si="22"/>
        <v>40</v>
      </c>
      <c r="L45" s="7">
        <f t="shared" si="22"/>
        <v>0</v>
      </c>
      <c r="M45" s="7">
        <f t="shared" si="22"/>
        <v>0</v>
      </c>
      <c r="N45" s="7">
        <f t="shared" si="22"/>
        <v>0</v>
      </c>
      <c r="O45" s="7">
        <f t="shared" si="22"/>
        <v>0</v>
      </c>
      <c r="P45" s="7">
        <f t="shared" si="22"/>
        <v>0</v>
      </c>
      <c r="Q45" s="7">
        <f t="shared" si="22"/>
        <v>200</v>
      </c>
      <c r="R45" s="7">
        <f t="shared" si="22"/>
        <v>0</v>
      </c>
      <c r="S45" s="7">
        <f t="shared" si="22"/>
        <v>0</v>
      </c>
      <c r="T45" s="7">
        <f t="shared" si="22"/>
        <v>0</v>
      </c>
      <c r="U45" s="7">
        <f t="shared" si="22"/>
        <v>0</v>
      </c>
      <c r="V45" s="17">
        <f t="shared" si="22"/>
        <v>40</v>
      </c>
      <c r="W45" s="17">
        <f t="shared" si="22"/>
        <v>360</v>
      </c>
      <c r="X45" s="14">
        <v>360</v>
      </c>
      <c r="Z45" s="15">
        <f>X45-W45</f>
        <v>0</v>
      </c>
    </row>
    <row r="46" spans="1:28" s="15" customFormat="1">
      <c r="A46" s="19">
        <v>30</v>
      </c>
      <c r="B46" s="11"/>
      <c r="C46" s="11"/>
      <c r="D46" s="11"/>
      <c r="E46" s="11"/>
      <c r="F46" s="11"/>
      <c r="G46" s="11">
        <v>80</v>
      </c>
      <c r="H46" s="11"/>
      <c r="I46" s="11"/>
      <c r="J46" s="11"/>
      <c r="K46" s="11">
        <v>40</v>
      </c>
      <c r="L46" s="11"/>
      <c r="M46" s="11"/>
      <c r="N46" s="11"/>
      <c r="O46" s="11"/>
      <c r="P46" s="11"/>
      <c r="Q46" s="11">
        <v>200</v>
      </c>
      <c r="R46" s="11"/>
      <c r="S46" s="11"/>
      <c r="T46" s="11"/>
      <c r="U46" s="11"/>
      <c r="V46" s="11">
        <v>40</v>
      </c>
      <c r="W46" s="13">
        <f>B46+C46+D46+E46+F46+G46+H46+I46+J46+K46+L46+M46+N46+O46+P46+Q46+R46+S46+T46+U46+V46</f>
        <v>360</v>
      </c>
      <c r="X46" s="14"/>
      <c r="Y46" s="15">
        <f>W46</f>
        <v>360</v>
      </c>
    </row>
    <row r="47" spans="1:28" s="15" customFormat="1" ht="30">
      <c r="A47" s="7" t="s">
        <v>29</v>
      </c>
      <c r="B47" s="7">
        <f>B48+B49+B50+B51+B52+B53+B54+B55+B56+B57</f>
        <v>690</v>
      </c>
      <c r="C47" s="7">
        <f t="shared" ref="C47:W47" si="23">C48+C49+C50+C51+C52+C53+C54+C55+C56+C57</f>
        <v>0</v>
      </c>
      <c r="D47" s="7">
        <f t="shared" si="23"/>
        <v>0</v>
      </c>
      <c r="E47" s="7">
        <f t="shared" si="23"/>
        <v>0</v>
      </c>
      <c r="F47" s="7">
        <f t="shared" si="23"/>
        <v>0</v>
      </c>
      <c r="G47" s="7">
        <f t="shared" si="23"/>
        <v>0</v>
      </c>
      <c r="H47" s="7">
        <f t="shared" si="23"/>
        <v>0</v>
      </c>
      <c r="I47" s="7">
        <f t="shared" si="23"/>
        <v>0</v>
      </c>
      <c r="J47" s="7">
        <f t="shared" si="23"/>
        <v>525</v>
      </c>
      <c r="K47" s="7">
        <f t="shared" si="23"/>
        <v>335</v>
      </c>
      <c r="L47" s="7">
        <f t="shared" si="23"/>
        <v>105</v>
      </c>
      <c r="M47" s="7">
        <f t="shared" si="23"/>
        <v>0</v>
      </c>
      <c r="N47" s="7">
        <f t="shared" si="23"/>
        <v>0</v>
      </c>
      <c r="O47" s="7">
        <f t="shared" si="23"/>
        <v>0</v>
      </c>
      <c r="P47" s="7">
        <f t="shared" si="23"/>
        <v>0</v>
      </c>
      <c r="Q47" s="7">
        <f t="shared" si="23"/>
        <v>248</v>
      </c>
      <c r="R47" s="7">
        <f t="shared" si="23"/>
        <v>0</v>
      </c>
      <c r="S47" s="7">
        <f t="shared" si="23"/>
        <v>0</v>
      </c>
      <c r="T47" s="7">
        <f t="shared" si="23"/>
        <v>2960</v>
      </c>
      <c r="U47" s="7">
        <f t="shared" si="23"/>
        <v>0</v>
      </c>
      <c r="V47" s="17">
        <f t="shared" si="23"/>
        <v>360</v>
      </c>
      <c r="W47" s="17">
        <f t="shared" si="23"/>
        <v>5223</v>
      </c>
      <c r="X47" s="14">
        <v>5143</v>
      </c>
      <c r="Z47" s="15">
        <f>X47-W47</f>
        <v>-80</v>
      </c>
    </row>
    <row r="48" spans="1:28" s="15" customFormat="1">
      <c r="A48" s="16">
        <v>31</v>
      </c>
      <c r="B48" s="11">
        <v>175</v>
      </c>
      <c r="C48" s="11"/>
      <c r="D48" s="11"/>
      <c r="E48" s="11"/>
      <c r="F48" s="11"/>
      <c r="G48" s="11"/>
      <c r="H48" s="11"/>
      <c r="I48" s="11"/>
      <c r="J48" s="11">
        <v>180</v>
      </c>
      <c r="K48" s="11">
        <v>221</v>
      </c>
      <c r="L48" s="11">
        <v>60</v>
      </c>
      <c r="M48" s="11"/>
      <c r="N48" s="11"/>
      <c r="O48" s="11"/>
      <c r="P48" s="11"/>
      <c r="Q48" s="11">
        <v>100</v>
      </c>
      <c r="R48" s="11"/>
      <c r="S48" s="11"/>
      <c r="T48" s="11">
        <v>307</v>
      </c>
      <c r="U48" s="11"/>
      <c r="V48" s="11">
        <v>26</v>
      </c>
      <c r="W48" s="13">
        <f t="shared" ref="W48:W57" si="24">B48+C48+D48+E48+F48+G48+H48+I48+J48+K48+L48+M48+N48+O48+P48+Q48+R48+S48+T48+U48+V48</f>
        <v>1069</v>
      </c>
      <c r="X48" s="14"/>
      <c r="Y48" s="15">
        <f>W48</f>
        <v>1069</v>
      </c>
    </row>
    <row r="49" spans="1:28" s="15" customFormat="1">
      <c r="A49" s="16">
        <v>32</v>
      </c>
      <c r="B49" s="11">
        <v>115</v>
      </c>
      <c r="C49" s="11"/>
      <c r="D49" s="11"/>
      <c r="E49" s="11"/>
      <c r="F49" s="11"/>
      <c r="G49" s="11"/>
      <c r="H49" s="11"/>
      <c r="I49" s="11"/>
      <c r="J49" s="11">
        <v>30</v>
      </c>
      <c r="K49" s="11">
        <v>15</v>
      </c>
      <c r="L49" s="11">
        <v>40</v>
      </c>
      <c r="M49" s="11"/>
      <c r="N49" s="11"/>
      <c r="O49" s="11"/>
      <c r="P49" s="11"/>
      <c r="Q49" s="11">
        <v>148</v>
      </c>
      <c r="R49" s="11"/>
      <c r="S49" s="11"/>
      <c r="T49" s="11">
        <v>148</v>
      </c>
      <c r="U49" s="11"/>
      <c r="V49" s="11">
        <v>90</v>
      </c>
      <c r="W49" s="13">
        <f t="shared" si="24"/>
        <v>586</v>
      </c>
      <c r="X49" s="14"/>
      <c r="Y49" s="15">
        <f t="shared" ref="Y49:Y57" si="25">W49</f>
        <v>586</v>
      </c>
    </row>
    <row r="50" spans="1:28" s="15" customFormat="1">
      <c r="A50" s="16">
        <v>33</v>
      </c>
      <c r="B50" s="11">
        <v>60</v>
      </c>
      <c r="C50" s="11"/>
      <c r="D50" s="11"/>
      <c r="E50" s="11"/>
      <c r="F50" s="11"/>
      <c r="G50" s="11"/>
      <c r="H50" s="11"/>
      <c r="I50" s="11"/>
      <c r="J50" s="11">
        <v>10</v>
      </c>
      <c r="K50" s="11">
        <v>1</v>
      </c>
      <c r="L50" s="11">
        <v>5</v>
      </c>
      <c r="M50" s="11"/>
      <c r="N50" s="11"/>
      <c r="O50" s="11"/>
      <c r="P50" s="11"/>
      <c r="Q50" s="11"/>
      <c r="R50" s="11"/>
      <c r="S50" s="11"/>
      <c r="T50" s="11">
        <v>55</v>
      </c>
      <c r="U50" s="11"/>
      <c r="V50" s="11">
        <v>4</v>
      </c>
      <c r="W50" s="13">
        <f t="shared" si="24"/>
        <v>135</v>
      </c>
      <c r="X50" s="14"/>
      <c r="Y50" s="15">
        <f t="shared" si="25"/>
        <v>135</v>
      </c>
    </row>
    <row r="51" spans="1:28" s="15" customFormat="1">
      <c r="A51" s="16">
        <v>34</v>
      </c>
      <c r="B51" s="11">
        <v>170</v>
      </c>
      <c r="C51" s="11"/>
      <c r="D51" s="11"/>
      <c r="E51" s="11"/>
      <c r="F51" s="11"/>
      <c r="G51" s="11"/>
      <c r="H51" s="11"/>
      <c r="I51" s="11"/>
      <c r="J51" s="11">
        <v>235</v>
      </c>
      <c r="K51" s="11">
        <v>88</v>
      </c>
      <c r="L51" s="11"/>
      <c r="M51" s="11"/>
      <c r="N51" s="11"/>
      <c r="O51" s="11"/>
      <c r="P51" s="11"/>
      <c r="Q51" s="11"/>
      <c r="R51" s="11"/>
      <c r="S51" s="11"/>
      <c r="T51" s="11">
        <v>528</v>
      </c>
      <c r="U51" s="11"/>
      <c r="V51" s="11">
        <v>35</v>
      </c>
      <c r="W51" s="13">
        <f t="shared" si="24"/>
        <v>1056</v>
      </c>
      <c r="X51" s="14"/>
      <c r="Y51" s="15">
        <f t="shared" si="25"/>
        <v>1056</v>
      </c>
    </row>
    <row r="52" spans="1:28" s="15" customFormat="1">
      <c r="A52" s="16">
        <v>35</v>
      </c>
      <c r="B52" s="11">
        <v>110</v>
      </c>
      <c r="C52" s="11"/>
      <c r="D52" s="11"/>
      <c r="E52" s="11"/>
      <c r="F52" s="11"/>
      <c r="G52" s="11"/>
      <c r="H52" s="11"/>
      <c r="I52" s="11"/>
      <c r="J52" s="11">
        <v>50</v>
      </c>
      <c r="K52" s="11">
        <v>10</v>
      </c>
      <c r="L52" s="11"/>
      <c r="M52" s="11"/>
      <c r="N52" s="11"/>
      <c r="O52" s="11"/>
      <c r="P52" s="11"/>
      <c r="Q52" s="11"/>
      <c r="R52" s="11"/>
      <c r="S52" s="11"/>
      <c r="T52" s="11">
        <v>266</v>
      </c>
      <c r="U52" s="11"/>
      <c r="V52" s="11">
        <v>157</v>
      </c>
      <c r="W52" s="13">
        <f t="shared" si="24"/>
        <v>593</v>
      </c>
      <c r="X52" s="14"/>
      <c r="Y52" s="15">
        <f t="shared" si="25"/>
        <v>593</v>
      </c>
    </row>
    <row r="53" spans="1:28" s="15" customFormat="1">
      <c r="A53" s="16">
        <v>36</v>
      </c>
      <c r="B53" s="11">
        <v>60</v>
      </c>
      <c r="C53" s="11"/>
      <c r="D53" s="11"/>
      <c r="E53" s="11"/>
      <c r="F53" s="11"/>
      <c r="G53" s="11"/>
      <c r="H53" s="11"/>
      <c r="I53" s="11"/>
      <c r="J53" s="11">
        <v>20</v>
      </c>
      <c r="K53" s="11"/>
      <c r="L53" s="11"/>
      <c r="M53" s="11"/>
      <c r="N53" s="11"/>
      <c r="O53" s="11"/>
      <c r="P53" s="11"/>
      <c r="Q53" s="11"/>
      <c r="R53" s="11"/>
      <c r="S53" s="11"/>
      <c r="T53" s="11">
        <v>76</v>
      </c>
      <c r="U53" s="11"/>
      <c r="V53" s="11">
        <v>18</v>
      </c>
      <c r="W53" s="13">
        <f t="shared" si="24"/>
        <v>174</v>
      </c>
      <c r="X53" s="14"/>
      <c r="Y53" s="15">
        <f>W53</f>
        <v>174</v>
      </c>
    </row>
    <row r="54" spans="1:28" s="15" customFormat="1">
      <c r="A54" s="16">
        <v>37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>
        <v>460</v>
      </c>
      <c r="U54" s="11"/>
      <c r="V54" s="11">
        <v>10</v>
      </c>
      <c r="W54" s="13">
        <f t="shared" si="24"/>
        <v>470</v>
      </c>
      <c r="X54" s="14"/>
      <c r="Y54" s="15">
        <f t="shared" si="25"/>
        <v>470</v>
      </c>
    </row>
    <row r="55" spans="1:28" s="15" customFormat="1">
      <c r="A55" s="16">
        <v>38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>
        <v>10</v>
      </c>
      <c r="U55" s="11"/>
      <c r="V55" s="11"/>
      <c r="W55" s="13">
        <f t="shared" si="24"/>
        <v>10</v>
      </c>
      <c r="X55" s="14"/>
      <c r="Y55" s="15">
        <f t="shared" si="25"/>
        <v>10</v>
      </c>
    </row>
    <row r="56" spans="1:28" s="15" customFormat="1">
      <c r="A56" s="16">
        <v>39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>
        <v>610</v>
      </c>
      <c r="U56" s="11"/>
      <c r="V56" s="11">
        <v>10</v>
      </c>
      <c r="W56" s="13">
        <f t="shared" si="24"/>
        <v>620</v>
      </c>
      <c r="X56" s="14"/>
      <c r="Y56" s="15">
        <f t="shared" si="25"/>
        <v>620</v>
      </c>
    </row>
    <row r="57" spans="1:28" s="15" customFormat="1">
      <c r="A57" s="16">
        <v>40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>
        <v>500</v>
      </c>
      <c r="U57" s="11"/>
      <c r="V57" s="11">
        <v>10</v>
      </c>
      <c r="W57" s="13">
        <f t="shared" si="24"/>
        <v>510</v>
      </c>
      <c r="X57" s="14"/>
      <c r="Y57" s="15">
        <f t="shared" si="25"/>
        <v>510</v>
      </c>
    </row>
    <row r="58" spans="1:28" s="15" customFormat="1">
      <c r="A58" s="7" t="s">
        <v>30</v>
      </c>
      <c r="B58" s="7">
        <f>B59+B60</f>
        <v>0</v>
      </c>
      <c r="C58" s="7">
        <f t="shared" ref="C58:W58" si="26">C59+C60</f>
        <v>0</v>
      </c>
      <c r="D58" s="7">
        <f t="shared" si="26"/>
        <v>0</v>
      </c>
      <c r="E58" s="7">
        <f t="shared" si="26"/>
        <v>0</v>
      </c>
      <c r="F58" s="7">
        <f t="shared" si="26"/>
        <v>0</v>
      </c>
      <c r="G58" s="7">
        <f t="shared" si="26"/>
        <v>0</v>
      </c>
      <c r="H58" s="7">
        <f t="shared" si="26"/>
        <v>0</v>
      </c>
      <c r="I58" s="7">
        <f t="shared" si="26"/>
        <v>0</v>
      </c>
      <c r="J58" s="7">
        <f t="shared" si="26"/>
        <v>0</v>
      </c>
      <c r="K58" s="7">
        <f t="shared" si="26"/>
        <v>0</v>
      </c>
      <c r="L58" s="7">
        <f t="shared" si="26"/>
        <v>0</v>
      </c>
      <c r="M58" s="7">
        <f t="shared" si="26"/>
        <v>0</v>
      </c>
      <c r="N58" s="7">
        <f t="shared" si="26"/>
        <v>0</v>
      </c>
      <c r="O58" s="7">
        <f t="shared" si="26"/>
        <v>0</v>
      </c>
      <c r="P58" s="7">
        <f t="shared" si="26"/>
        <v>0</v>
      </c>
      <c r="Q58" s="7">
        <f t="shared" si="26"/>
        <v>30</v>
      </c>
      <c r="R58" s="7">
        <f t="shared" si="26"/>
        <v>0</v>
      </c>
      <c r="S58" s="7">
        <f t="shared" si="26"/>
        <v>0</v>
      </c>
      <c r="T58" s="7">
        <f t="shared" si="26"/>
        <v>0</v>
      </c>
      <c r="U58" s="7">
        <f t="shared" si="26"/>
        <v>0</v>
      </c>
      <c r="V58" s="17">
        <f t="shared" si="26"/>
        <v>50</v>
      </c>
      <c r="W58" s="17">
        <f t="shared" si="26"/>
        <v>80</v>
      </c>
      <c r="X58" s="14">
        <v>80</v>
      </c>
      <c r="Z58" s="15">
        <f>X58-W58</f>
        <v>0</v>
      </c>
    </row>
    <row r="59" spans="1:28" s="15" customFormat="1">
      <c r="A59" s="16">
        <v>41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20</v>
      </c>
      <c r="R59" s="11"/>
      <c r="S59" s="11"/>
      <c r="T59" s="11"/>
      <c r="U59" s="11"/>
      <c r="V59" s="11">
        <v>50</v>
      </c>
      <c r="W59" s="13">
        <f t="shared" ref="W59:W60" si="27">B59+C59+D59+E59+F59+G59+H59+I59+J59+K59+L59+M59+N59+O59+P59+Q59+R59+S59+T59+U59+V59</f>
        <v>70</v>
      </c>
      <c r="X59" s="14"/>
      <c r="Y59" s="15">
        <f>W59</f>
        <v>70</v>
      </c>
    </row>
    <row r="60" spans="1:28" s="15" customFormat="1">
      <c r="A60" s="16">
        <v>42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10</v>
      </c>
      <c r="R60" s="11"/>
      <c r="S60" s="11"/>
      <c r="T60" s="11"/>
      <c r="U60" s="11"/>
      <c r="V60" s="11"/>
      <c r="W60" s="13">
        <f t="shared" si="27"/>
        <v>10</v>
      </c>
      <c r="X60" s="14"/>
    </row>
    <row r="61" spans="1:28" s="15" customFormat="1">
      <c r="A61" s="7" t="s">
        <v>31</v>
      </c>
      <c r="B61" s="7">
        <f t="shared" ref="B61:T61" si="28">SUM(B62:B66)</f>
        <v>195</v>
      </c>
      <c r="C61" s="7">
        <f t="shared" si="28"/>
        <v>0</v>
      </c>
      <c r="D61" s="7">
        <f t="shared" si="28"/>
        <v>15</v>
      </c>
      <c r="E61" s="7">
        <f t="shared" si="28"/>
        <v>0</v>
      </c>
      <c r="F61" s="7">
        <f t="shared" si="28"/>
        <v>0</v>
      </c>
      <c r="G61" s="7">
        <f t="shared" si="28"/>
        <v>67</v>
      </c>
      <c r="H61" s="7">
        <f t="shared" si="28"/>
        <v>175</v>
      </c>
      <c r="I61" s="7">
        <f t="shared" si="28"/>
        <v>200</v>
      </c>
      <c r="J61" s="7">
        <f t="shared" si="28"/>
        <v>200</v>
      </c>
      <c r="K61" s="7">
        <f t="shared" si="28"/>
        <v>129</v>
      </c>
      <c r="L61" s="7">
        <f t="shared" si="28"/>
        <v>25</v>
      </c>
      <c r="M61" s="7">
        <f t="shared" si="28"/>
        <v>0</v>
      </c>
      <c r="N61" s="7">
        <f t="shared" si="28"/>
        <v>0</v>
      </c>
      <c r="O61" s="7">
        <f t="shared" si="28"/>
        <v>0</v>
      </c>
      <c r="P61" s="7">
        <f t="shared" si="28"/>
        <v>0</v>
      </c>
      <c r="Q61" s="7">
        <f t="shared" si="28"/>
        <v>400</v>
      </c>
      <c r="R61" s="7">
        <f t="shared" si="28"/>
        <v>216</v>
      </c>
      <c r="S61" s="7">
        <f t="shared" si="28"/>
        <v>0</v>
      </c>
      <c r="T61" s="7">
        <f t="shared" si="28"/>
        <v>0</v>
      </c>
      <c r="U61" s="7">
        <f>SUM(U62:U66)</f>
        <v>60</v>
      </c>
      <c r="V61" s="7">
        <f t="shared" ref="V61:W61" si="29">SUM(V62:V66)</f>
        <v>50</v>
      </c>
      <c r="W61" s="7">
        <f t="shared" si="29"/>
        <v>1732</v>
      </c>
      <c r="X61" s="14">
        <f t="shared" ref="X61:AB61" si="30">X62+X63+X65+X66</f>
        <v>0</v>
      </c>
      <c r="Y61" s="15">
        <f t="shared" si="30"/>
        <v>543</v>
      </c>
      <c r="Z61" s="15">
        <f t="shared" si="30"/>
        <v>0</v>
      </c>
      <c r="AA61" s="15">
        <f t="shared" si="30"/>
        <v>0</v>
      </c>
      <c r="AB61" s="15">
        <f t="shared" si="30"/>
        <v>0</v>
      </c>
    </row>
    <row r="62" spans="1:28" s="15" customFormat="1">
      <c r="A62" s="16">
        <v>43</v>
      </c>
      <c r="B62" s="11">
        <v>60</v>
      </c>
      <c r="C62" s="11"/>
      <c r="D62" s="11"/>
      <c r="E62" s="11"/>
      <c r="F62" s="11"/>
      <c r="G62" s="11">
        <v>17</v>
      </c>
      <c r="H62" s="11">
        <v>170</v>
      </c>
      <c r="I62" s="11">
        <v>10</v>
      </c>
      <c r="J62" s="11">
        <v>55</v>
      </c>
      <c r="K62" s="11">
        <v>42</v>
      </c>
      <c r="L62" s="11">
        <v>10</v>
      </c>
      <c r="M62" s="11"/>
      <c r="N62" s="11"/>
      <c r="O62" s="11"/>
      <c r="P62" s="11"/>
      <c r="Q62" s="11">
        <v>70</v>
      </c>
      <c r="R62" s="11">
        <v>54</v>
      </c>
      <c r="S62" s="11"/>
      <c r="T62" s="11"/>
      <c r="U62" s="11">
        <v>55</v>
      </c>
      <c r="V62" s="11"/>
      <c r="W62" s="13">
        <f t="shared" ref="W62:W66" si="31">B62+C62+D62+E62+F62+G62+H62+I62+J62+K62+L62+M62+N62+O62+P62+Q62+R62+S62+T62+U62+V62</f>
        <v>543</v>
      </c>
      <c r="X62" s="14"/>
      <c r="Y62" s="15">
        <f>W62</f>
        <v>543</v>
      </c>
    </row>
    <row r="63" spans="1:28" s="15" customFormat="1">
      <c r="A63" s="16">
        <v>44</v>
      </c>
      <c r="B63" s="11">
        <v>35</v>
      </c>
      <c r="C63" s="11"/>
      <c r="D63" s="11">
        <v>15</v>
      </c>
      <c r="E63" s="11"/>
      <c r="F63" s="11"/>
      <c r="G63" s="11">
        <v>15</v>
      </c>
      <c r="H63" s="11"/>
      <c r="I63" s="11"/>
      <c r="J63" s="11">
        <v>20</v>
      </c>
      <c r="K63" s="11">
        <v>57</v>
      </c>
      <c r="L63" s="11">
        <v>5</v>
      </c>
      <c r="M63" s="11"/>
      <c r="N63" s="11"/>
      <c r="O63" s="11"/>
      <c r="P63" s="11"/>
      <c r="Q63" s="11">
        <v>30</v>
      </c>
      <c r="R63" s="11"/>
      <c r="S63" s="11"/>
      <c r="T63" s="11"/>
      <c r="U63" s="26">
        <v>0</v>
      </c>
      <c r="V63" s="11"/>
      <c r="W63" s="13">
        <f t="shared" si="31"/>
        <v>177</v>
      </c>
      <c r="X63" s="14"/>
    </row>
    <row r="64" spans="1:28" s="15" customFormat="1">
      <c r="A64" s="16">
        <v>45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6">
        <v>5</v>
      </c>
      <c r="V64" s="11"/>
      <c r="W64" s="13">
        <f t="shared" si="31"/>
        <v>5</v>
      </c>
      <c r="X64" s="14"/>
    </row>
    <row r="65" spans="1:28" s="15" customFormat="1">
      <c r="A65" s="16">
        <v>46</v>
      </c>
      <c r="B65" s="11">
        <v>100</v>
      </c>
      <c r="C65" s="11"/>
      <c r="D65" s="11"/>
      <c r="E65" s="11"/>
      <c r="F65" s="11"/>
      <c r="G65" s="11">
        <v>35</v>
      </c>
      <c r="H65" s="11"/>
      <c r="I65" s="11">
        <v>190</v>
      </c>
      <c r="J65" s="11">
        <v>125</v>
      </c>
      <c r="K65" s="11">
        <v>30</v>
      </c>
      <c r="L65" s="11">
        <v>10</v>
      </c>
      <c r="M65" s="11"/>
      <c r="N65" s="11"/>
      <c r="O65" s="11"/>
      <c r="P65" s="11"/>
      <c r="Q65" s="11">
        <v>300</v>
      </c>
      <c r="R65" s="11">
        <v>162</v>
      </c>
      <c r="S65" s="11"/>
      <c r="T65" s="11"/>
      <c r="U65" s="11"/>
      <c r="V65" s="11">
        <v>50</v>
      </c>
      <c r="W65" s="13">
        <f t="shared" si="31"/>
        <v>1002</v>
      </c>
      <c r="X65" s="14"/>
    </row>
    <row r="66" spans="1:28" s="15" customFormat="1">
      <c r="A66" s="16">
        <v>47</v>
      </c>
      <c r="B66" s="11"/>
      <c r="C66" s="11"/>
      <c r="D66" s="11"/>
      <c r="E66" s="11"/>
      <c r="F66" s="11"/>
      <c r="G66" s="11"/>
      <c r="H66" s="11">
        <v>5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3">
        <f t="shared" si="31"/>
        <v>5</v>
      </c>
      <c r="X66" s="14"/>
    </row>
    <row r="67" spans="1:28" s="15" customFormat="1">
      <c r="A67" s="7" t="s">
        <v>32</v>
      </c>
      <c r="B67" s="7">
        <f>B68+B69</f>
        <v>30</v>
      </c>
      <c r="C67" s="7">
        <f t="shared" ref="C67:W67" si="32">C68+C69</f>
        <v>0</v>
      </c>
      <c r="D67" s="7">
        <f t="shared" si="32"/>
        <v>0</v>
      </c>
      <c r="E67" s="7">
        <f t="shared" si="32"/>
        <v>0</v>
      </c>
      <c r="F67" s="7">
        <f t="shared" si="32"/>
        <v>0</v>
      </c>
      <c r="G67" s="7">
        <f t="shared" si="32"/>
        <v>0</v>
      </c>
      <c r="H67" s="7">
        <f t="shared" si="32"/>
        <v>25</v>
      </c>
      <c r="I67" s="7">
        <f t="shared" si="32"/>
        <v>0</v>
      </c>
      <c r="J67" s="7">
        <f t="shared" si="32"/>
        <v>10</v>
      </c>
      <c r="K67" s="7">
        <f t="shared" si="32"/>
        <v>0</v>
      </c>
      <c r="L67" s="7">
        <f t="shared" si="32"/>
        <v>0</v>
      </c>
      <c r="M67" s="7">
        <f t="shared" si="32"/>
        <v>0</v>
      </c>
      <c r="N67" s="7">
        <f t="shared" si="32"/>
        <v>0</v>
      </c>
      <c r="O67" s="7">
        <f t="shared" si="32"/>
        <v>40</v>
      </c>
      <c r="P67" s="7">
        <f t="shared" si="32"/>
        <v>0</v>
      </c>
      <c r="Q67" s="7">
        <f t="shared" si="32"/>
        <v>117</v>
      </c>
      <c r="R67" s="7">
        <f t="shared" si="32"/>
        <v>0</v>
      </c>
      <c r="S67" s="7">
        <f t="shared" si="32"/>
        <v>0</v>
      </c>
      <c r="T67" s="7">
        <f t="shared" si="32"/>
        <v>0</v>
      </c>
      <c r="U67" s="7">
        <f t="shared" si="32"/>
        <v>120</v>
      </c>
      <c r="V67" s="17">
        <f t="shared" si="32"/>
        <v>121</v>
      </c>
      <c r="W67" s="17">
        <f t="shared" si="32"/>
        <v>463</v>
      </c>
      <c r="X67" s="14">
        <v>463</v>
      </c>
      <c r="Z67" s="15">
        <f>X67-W67</f>
        <v>0</v>
      </c>
    </row>
    <row r="68" spans="1:28" s="15" customFormat="1">
      <c r="A68" s="16">
        <v>48</v>
      </c>
      <c r="B68" s="11">
        <v>30</v>
      </c>
      <c r="C68" s="11"/>
      <c r="D68" s="11"/>
      <c r="E68" s="11"/>
      <c r="F68" s="11"/>
      <c r="G68" s="11"/>
      <c r="H68" s="11">
        <v>25</v>
      </c>
      <c r="I68" s="11"/>
      <c r="J68" s="11">
        <v>10</v>
      </c>
      <c r="K68" s="11"/>
      <c r="L68" s="11"/>
      <c r="M68" s="11"/>
      <c r="N68" s="11"/>
      <c r="O68" s="11">
        <v>30</v>
      </c>
      <c r="P68" s="11"/>
      <c r="Q68" s="11">
        <v>107</v>
      </c>
      <c r="R68" s="11"/>
      <c r="S68" s="11"/>
      <c r="T68" s="11"/>
      <c r="U68" s="11">
        <v>120</v>
      </c>
      <c r="V68" s="11">
        <v>121</v>
      </c>
      <c r="W68" s="13">
        <f t="shared" ref="W68:W69" si="33">B68+C68+D68+E68+F68+G68+H68+I68+J68+K68+L68+M68+N68+O68+P68+Q68+R68+S68+T68+U68+V68</f>
        <v>443</v>
      </c>
      <c r="X68" s="14"/>
      <c r="Y68" s="15">
        <f>W68</f>
        <v>443</v>
      </c>
    </row>
    <row r="69" spans="1:28" s="15" customFormat="1">
      <c r="A69" s="16">
        <v>49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10</v>
      </c>
      <c r="P69" s="11"/>
      <c r="Q69" s="11">
        <v>10</v>
      </c>
      <c r="R69" s="11"/>
      <c r="S69" s="11"/>
      <c r="T69" s="11"/>
      <c r="U69" s="11"/>
      <c r="V69" s="11"/>
      <c r="W69" s="13">
        <f t="shared" si="33"/>
        <v>20</v>
      </c>
      <c r="X69" s="14"/>
    </row>
    <row r="70" spans="1:28" s="15" customFormat="1" ht="30">
      <c r="A70" s="7" t="s">
        <v>33</v>
      </c>
      <c r="B70" s="7">
        <f>B71</f>
        <v>0</v>
      </c>
      <c r="C70" s="7">
        <f t="shared" ref="C70:W70" si="34">C71</f>
        <v>0</v>
      </c>
      <c r="D70" s="7">
        <f t="shared" si="34"/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60</v>
      </c>
      <c r="K70" s="7">
        <f t="shared" si="34"/>
        <v>0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35</v>
      </c>
      <c r="V70" s="17">
        <f t="shared" si="34"/>
        <v>0</v>
      </c>
      <c r="W70" s="17">
        <f t="shared" si="34"/>
        <v>95</v>
      </c>
      <c r="X70" s="14">
        <v>95</v>
      </c>
      <c r="Z70" s="15">
        <f>X70-W70</f>
        <v>0</v>
      </c>
    </row>
    <row r="71" spans="1:28" s="15" customFormat="1">
      <c r="A71" s="16">
        <v>50</v>
      </c>
      <c r="B71" s="11"/>
      <c r="C71" s="11"/>
      <c r="D71" s="11"/>
      <c r="E71" s="11"/>
      <c r="F71" s="11"/>
      <c r="G71" s="11"/>
      <c r="H71" s="11"/>
      <c r="I71" s="11"/>
      <c r="J71" s="11">
        <v>60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>
        <v>35</v>
      </c>
      <c r="V71" s="11"/>
      <c r="W71" s="13">
        <f>B71+C71+D71+E71+F71+G71+H71+I71+J71+K71+L71+M71+N71+O71+P71+Q71+R71+S71+T71+U71+V71</f>
        <v>95</v>
      </c>
      <c r="X71" s="14"/>
      <c r="Y71" s="15">
        <f>W71</f>
        <v>95</v>
      </c>
    </row>
    <row r="72" spans="1:28" s="15" customFormat="1">
      <c r="A72" s="7" t="s">
        <v>34</v>
      </c>
      <c r="B72" s="7">
        <f>B73+B74</f>
        <v>0</v>
      </c>
      <c r="C72" s="7">
        <f t="shared" ref="C72:AB72" si="35">C73+C74</f>
        <v>0</v>
      </c>
      <c r="D72" s="7">
        <f t="shared" si="35"/>
        <v>0</v>
      </c>
      <c r="E72" s="7">
        <f t="shared" si="35"/>
        <v>0</v>
      </c>
      <c r="F72" s="7">
        <f t="shared" si="35"/>
        <v>0</v>
      </c>
      <c r="G72" s="7">
        <f t="shared" si="35"/>
        <v>0</v>
      </c>
      <c r="H72" s="7">
        <f t="shared" si="35"/>
        <v>0</v>
      </c>
      <c r="I72" s="7">
        <f t="shared" si="35"/>
        <v>0</v>
      </c>
      <c r="J72" s="7">
        <f t="shared" si="35"/>
        <v>10</v>
      </c>
      <c r="K72" s="7">
        <f t="shared" si="35"/>
        <v>0</v>
      </c>
      <c r="L72" s="7">
        <f t="shared" si="35"/>
        <v>0</v>
      </c>
      <c r="M72" s="7">
        <f t="shared" si="35"/>
        <v>0</v>
      </c>
      <c r="N72" s="7">
        <f t="shared" si="35"/>
        <v>0</v>
      </c>
      <c r="O72" s="7">
        <f t="shared" si="35"/>
        <v>0</v>
      </c>
      <c r="P72" s="7">
        <f t="shared" si="35"/>
        <v>0</v>
      </c>
      <c r="Q72" s="7">
        <f t="shared" si="35"/>
        <v>10</v>
      </c>
      <c r="R72" s="7">
        <f t="shared" si="35"/>
        <v>0</v>
      </c>
      <c r="S72" s="7">
        <f t="shared" si="35"/>
        <v>0</v>
      </c>
      <c r="T72" s="7">
        <f t="shared" si="35"/>
        <v>0</v>
      </c>
      <c r="U72" s="7">
        <f t="shared" si="35"/>
        <v>15</v>
      </c>
      <c r="V72" s="17">
        <f t="shared" si="35"/>
        <v>40</v>
      </c>
      <c r="W72" s="17">
        <f t="shared" si="35"/>
        <v>75</v>
      </c>
      <c r="X72" s="14">
        <f t="shared" si="35"/>
        <v>0</v>
      </c>
      <c r="Y72" s="15">
        <f t="shared" si="35"/>
        <v>75</v>
      </c>
      <c r="Z72" s="15">
        <f t="shared" si="35"/>
        <v>0</v>
      </c>
      <c r="AA72" s="15">
        <f t="shared" si="35"/>
        <v>0</v>
      </c>
      <c r="AB72" s="15">
        <f t="shared" si="35"/>
        <v>0</v>
      </c>
    </row>
    <row r="73" spans="1:28" s="15" customFormat="1">
      <c r="A73" s="16">
        <v>51</v>
      </c>
      <c r="B73" s="11"/>
      <c r="C73" s="11"/>
      <c r="D73" s="11"/>
      <c r="E73" s="11"/>
      <c r="F73" s="11"/>
      <c r="G73" s="11"/>
      <c r="H73" s="11"/>
      <c r="I73" s="11"/>
      <c r="J73" s="11">
        <v>10</v>
      </c>
      <c r="K73" s="11"/>
      <c r="L73" s="11"/>
      <c r="M73" s="11"/>
      <c r="N73" s="11"/>
      <c r="O73" s="11"/>
      <c r="P73" s="11"/>
      <c r="Q73" s="11">
        <v>10</v>
      </c>
      <c r="R73" s="11"/>
      <c r="S73" s="11"/>
      <c r="T73" s="11"/>
      <c r="U73" s="11">
        <v>15</v>
      </c>
      <c r="V73" s="11">
        <v>40</v>
      </c>
      <c r="W73" s="20">
        <f t="shared" ref="W73:W74" si="36">B73+C73+D73+E73+F73+G73+H73+I73+J73+K73+L73+M73+N73+O73+P73+Q73+R73+S73+T73+U73+V73</f>
        <v>75</v>
      </c>
      <c r="X73" s="14"/>
      <c r="Y73" s="15">
        <f>W73</f>
        <v>75</v>
      </c>
    </row>
    <row r="74" spans="1:28" s="15" customFormat="1">
      <c r="A74" s="16">
        <v>52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0">
        <f t="shared" si="36"/>
        <v>0</v>
      </c>
      <c r="X74" s="14"/>
    </row>
    <row r="75" spans="1:28" s="24" customFormat="1">
      <c r="A75" s="21" t="s">
        <v>35</v>
      </c>
      <c r="B75" s="21">
        <f t="shared" ref="B75:X75" si="37">B72+B70+B67+B61+B58+B47+B45+B41+B38+B35+B31+B28+B21+B18+B16+B14+B11+B9+B6+B3</f>
        <v>1018</v>
      </c>
      <c r="C75" s="21">
        <f t="shared" si="37"/>
        <v>200</v>
      </c>
      <c r="D75" s="21">
        <f t="shared" si="37"/>
        <v>15</v>
      </c>
      <c r="E75" s="21">
        <f t="shared" si="37"/>
        <v>140</v>
      </c>
      <c r="F75" s="21">
        <f t="shared" si="37"/>
        <v>84</v>
      </c>
      <c r="G75" s="21">
        <f t="shared" si="37"/>
        <v>229</v>
      </c>
      <c r="H75" s="21">
        <f t="shared" si="37"/>
        <v>346</v>
      </c>
      <c r="I75" s="21">
        <f t="shared" si="37"/>
        <v>480</v>
      </c>
      <c r="J75" s="21">
        <f t="shared" si="37"/>
        <v>1168</v>
      </c>
      <c r="K75" s="21">
        <f t="shared" si="37"/>
        <v>674</v>
      </c>
      <c r="L75" s="21">
        <f t="shared" si="37"/>
        <v>130</v>
      </c>
      <c r="M75" s="21">
        <f t="shared" si="37"/>
        <v>660</v>
      </c>
      <c r="N75" s="21">
        <f t="shared" si="37"/>
        <v>2660</v>
      </c>
      <c r="O75" s="21">
        <f t="shared" si="37"/>
        <v>240</v>
      </c>
      <c r="P75" s="21">
        <f t="shared" si="37"/>
        <v>52</v>
      </c>
      <c r="Q75" s="21">
        <f t="shared" si="37"/>
        <v>2461</v>
      </c>
      <c r="R75" s="21">
        <f t="shared" si="37"/>
        <v>216</v>
      </c>
      <c r="S75" s="21">
        <f t="shared" si="37"/>
        <v>1020</v>
      </c>
      <c r="T75" s="21">
        <f t="shared" si="37"/>
        <v>2960</v>
      </c>
      <c r="U75" s="21">
        <f t="shared" si="37"/>
        <v>925</v>
      </c>
      <c r="V75" s="22">
        <f t="shared" si="37"/>
        <v>1390</v>
      </c>
      <c r="W75" s="22">
        <f t="shared" si="37"/>
        <v>17068</v>
      </c>
      <c r="X75" s="23">
        <f t="shared" si="37"/>
        <v>8037</v>
      </c>
      <c r="Y75" s="24">
        <f>SUM(Y3:Y74)</f>
        <v>18893</v>
      </c>
      <c r="Z75" s="24">
        <f>X75-W75</f>
        <v>-9031</v>
      </c>
    </row>
    <row r="76" spans="1:28" s="15" customFormat="1">
      <c r="A76" s="24"/>
      <c r="Y76" s="15">
        <f>Y75-W75</f>
        <v>1825</v>
      </c>
    </row>
    <row r="77" spans="1:28" s="15" customFormat="1">
      <c r="A77" s="24"/>
      <c r="X77" s="15">
        <v>17738</v>
      </c>
      <c r="Y77" s="15">
        <f>V76+Y76</f>
        <v>1825</v>
      </c>
    </row>
    <row r="78" spans="1:28" s="15" customFormat="1">
      <c r="A78" s="24"/>
    </row>
  </sheetData>
  <mergeCells count="1">
    <mergeCell ref="A1:W1"/>
  </mergeCells>
  <pageMargins left="0" right="0" top="0.59055118110236227" bottom="0" header="0.31496062992125984" footer="0.31496062992125984"/>
  <pageSetup paperSize="8" scale="85" fitToHeight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4" sqref="J4:J5"/>
    </sheetView>
  </sheetViews>
  <sheetFormatPr defaultRowHeight="15"/>
  <cols>
    <col min="1" max="1" width="4.5703125" style="119" customWidth="1"/>
    <col min="2" max="2" width="20.42578125" style="119" customWidth="1"/>
    <col min="3" max="3" width="9.140625" style="119"/>
    <col min="4" max="4" width="11" style="119" customWidth="1"/>
    <col min="5" max="5" width="10.7109375" style="119" customWidth="1"/>
    <col min="6" max="6" width="10.85546875" style="119" customWidth="1"/>
    <col min="7" max="8" width="11.5703125" style="119" customWidth="1"/>
    <col min="9" max="9" width="11.7109375" style="119" customWidth="1"/>
    <col min="10" max="10" width="11.140625" style="119" customWidth="1"/>
    <col min="11" max="11" width="11" style="119" customWidth="1"/>
    <col min="12" max="12" width="9.140625" style="119"/>
    <col min="13" max="13" width="10.85546875" style="119" customWidth="1"/>
    <col min="14" max="14" width="11.28515625" style="119" customWidth="1"/>
    <col min="15" max="15" width="9.140625" style="119"/>
    <col min="16" max="16" width="11" style="119" customWidth="1"/>
    <col min="17" max="16384" width="9.140625" style="119"/>
  </cols>
  <sheetData>
    <row r="1" spans="1:16" ht="48.75" customHeight="1">
      <c r="A1" s="150" t="s">
        <v>351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>
      <c r="P2" s="120" t="s">
        <v>295</v>
      </c>
    </row>
    <row r="3" spans="1:16" ht="62.25" customHeight="1">
      <c r="A3" s="149" t="s">
        <v>36</v>
      </c>
      <c r="B3" s="149" t="s">
        <v>37</v>
      </c>
      <c r="C3" s="151" t="s">
        <v>238</v>
      </c>
      <c r="D3" s="160" t="s">
        <v>296</v>
      </c>
      <c r="E3" s="160"/>
      <c r="F3" s="160"/>
      <c r="G3" s="160"/>
      <c r="H3" s="124" t="s">
        <v>350</v>
      </c>
      <c r="I3" s="161" t="s">
        <v>297</v>
      </c>
      <c r="J3" s="160" t="s">
        <v>298</v>
      </c>
      <c r="K3" s="160"/>
      <c r="L3" s="160"/>
      <c r="M3" s="160" t="s">
        <v>299</v>
      </c>
      <c r="N3" s="160"/>
      <c r="O3" s="160"/>
      <c r="P3" s="160"/>
    </row>
    <row r="4" spans="1:16" ht="21" customHeight="1">
      <c r="A4" s="149"/>
      <c r="B4" s="149"/>
      <c r="C4" s="151"/>
      <c r="D4" s="162" t="s">
        <v>300</v>
      </c>
      <c r="E4" s="162" t="s">
        <v>301</v>
      </c>
      <c r="F4" s="162" t="s">
        <v>302</v>
      </c>
      <c r="G4" s="162"/>
      <c r="H4" s="162" t="s">
        <v>301</v>
      </c>
      <c r="I4" s="162" t="s">
        <v>301</v>
      </c>
      <c r="J4" s="162" t="s">
        <v>300</v>
      </c>
      <c r="K4" s="162" t="s">
        <v>301</v>
      </c>
      <c r="L4" s="162" t="s">
        <v>303</v>
      </c>
      <c r="M4" s="162" t="s">
        <v>300</v>
      </c>
      <c r="N4" s="162" t="s">
        <v>301</v>
      </c>
      <c r="O4" s="162" t="s">
        <v>303</v>
      </c>
      <c r="P4" s="162" t="s">
        <v>304</v>
      </c>
    </row>
    <row r="5" spans="1:16" ht="52.5">
      <c r="A5" s="149"/>
      <c r="B5" s="149"/>
      <c r="C5" s="151"/>
      <c r="D5" s="162"/>
      <c r="E5" s="162"/>
      <c r="F5" s="161" t="s">
        <v>313</v>
      </c>
      <c r="G5" s="161" t="s">
        <v>305</v>
      </c>
      <c r="H5" s="162"/>
      <c r="I5" s="162"/>
      <c r="J5" s="162"/>
      <c r="K5" s="162"/>
      <c r="L5" s="162"/>
      <c r="M5" s="162"/>
      <c r="N5" s="162"/>
      <c r="O5" s="162"/>
      <c r="P5" s="162"/>
    </row>
    <row r="6" spans="1:16" ht="18.75" customHeight="1">
      <c r="A6" s="121">
        <v>1</v>
      </c>
      <c r="B6" s="122" t="s">
        <v>306</v>
      </c>
      <c r="C6" s="123">
        <f>D6+E6+F6+G6+I6+J6+K6+L6+M6+N6+O6+P6+H6</f>
        <v>11862</v>
      </c>
      <c r="D6" s="124"/>
      <c r="E6" s="124">
        <v>196</v>
      </c>
      <c r="F6" s="124">
        <v>40</v>
      </c>
      <c r="G6" s="124">
        <v>10</v>
      </c>
      <c r="H6" s="124">
        <v>228</v>
      </c>
      <c r="I6" s="124"/>
      <c r="J6" s="124"/>
      <c r="K6" s="163">
        <v>1404</v>
      </c>
      <c r="L6" s="124"/>
      <c r="M6" s="124">
        <v>323</v>
      </c>
      <c r="N6" s="163">
        <v>5965</v>
      </c>
      <c r="O6" s="163">
        <v>3696</v>
      </c>
      <c r="P6" s="164"/>
    </row>
    <row r="7" spans="1:16" ht="15.75" customHeight="1">
      <c r="A7" s="121">
        <v>2</v>
      </c>
      <c r="B7" s="122" t="s">
        <v>307</v>
      </c>
      <c r="C7" s="123">
        <f t="shared" ref="C7:C16" si="0">D7+E7+F7+G7+I7+J7+K7+L7+M7+N7+O7+P7+H7</f>
        <v>10</v>
      </c>
      <c r="D7" s="124"/>
      <c r="E7" s="124"/>
      <c r="F7" s="124">
        <v>10</v>
      </c>
      <c r="G7" s="124"/>
      <c r="H7" s="124"/>
      <c r="I7" s="124"/>
      <c r="J7" s="124"/>
      <c r="K7" s="124"/>
      <c r="L7" s="124"/>
      <c r="M7" s="124"/>
      <c r="N7" s="124"/>
      <c r="O7" s="124"/>
      <c r="P7" s="164"/>
    </row>
    <row r="8" spans="1:16">
      <c r="A8" s="121">
        <v>3</v>
      </c>
      <c r="B8" s="122" t="s">
        <v>11</v>
      </c>
      <c r="C8" s="123">
        <f t="shared" si="0"/>
        <v>60</v>
      </c>
      <c r="D8" s="124"/>
      <c r="E8" s="124"/>
      <c r="F8" s="124">
        <v>60</v>
      </c>
      <c r="G8" s="124"/>
      <c r="H8" s="124"/>
      <c r="I8" s="124"/>
      <c r="J8" s="124"/>
      <c r="K8" s="124"/>
      <c r="L8" s="124"/>
      <c r="M8" s="124"/>
      <c r="N8" s="124"/>
      <c r="O8" s="124"/>
      <c r="P8" s="164"/>
    </row>
    <row r="9" spans="1:16" ht="15" customHeight="1">
      <c r="A9" s="121">
        <v>4</v>
      </c>
      <c r="B9" s="122" t="s">
        <v>12</v>
      </c>
      <c r="C9" s="123">
        <f t="shared" si="0"/>
        <v>2486</v>
      </c>
      <c r="D9" s="124"/>
      <c r="E9" s="124">
        <v>2</v>
      </c>
      <c r="F9" s="124"/>
      <c r="G9" s="124"/>
      <c r="H9" s="124"/>
      <c r="I9" s="124"/>
      <c r="J9" s="124"/>
      <c r="K9" s="124">
        <v>312</v>
      </c>
      <c r="L9" s="124">
        <v>156</v>
      </c>
      <c r="M9" s="124">
        <v>288</v>
      </c>
      <c r="N9" s="124">
        <v>422</v>
      </c>
      <c r="O9" s="124">
        <v>211</v>
      </c>
      <c r="P9" s="165">
        <v>1095</v>
      </c>
    </row>
    <row r="10" spans="1:16">
      <c r="A10" s="121">
        <v>5</v>
      </c>
      <c r="B10" s="122" t="s">
        <v>308</v>
      </c>
      <c r="C10" s="123">
        <f t="shared" si="0"/>
        <v>15</v>
      </c>
      <c r="D10" s="124"/>
      <c r="E10" s="124"/>
      <c r="F10" s="124">
        <v>10</v>
      </c>
      <c r="G10" s="124">
        <v>5</v>
      </c>
      <c r="H10" s="124"/>
      <c r="I10" s="124"/>
      <c r="J10" s="124"/>
      <c r="K10" s="124"/>
      <c r="L10" s="124"/>
      <c r="M10" s="124"/>
      <c r="N10" s="124"/>
      <c r="O10" s="124"/>
      <c r="P10" s="164"/>
    </row>
    <row r="11" spans="1:16" ht="23.25" customHeight="1">
      <c r="A11" s="121">
        <v>6</v>
      </c>
      <c r="B11" s="122" t="s">
        <v>309</v>
      </c>
      <c r="C11" s="123">
        <f t="shared" si="0"/>
        <v>50</v>
      </c>
      <c r="D11" s="124">
        <v>50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64"/>
    </row>
    <row r="12" spans="1:16" ht="23.25" customHeight="1">
      <c r="A12" s="121">
        <v>7</v>
      </c>
      <c r="B12" s="122" t="s">
        <v>310</v>
      </c>
      <c r="C12" s="123">
        <f t="shared" si="0"/>
        <v>85815</v>
      </c>
      <c r="D12" s="124"/>
      <c r="E12" s="124"/>
      <c r="F12" s="124"/>
      <c r="G12" s="124"/>
      <c r="H12" s="124"/>
      <c r="I12" s="124">
        <v>628</v>
      </c>
      <c r="J12" s="124">
        <v>331</v>
      </c>
      <c r="K12" s="163">
        <v>10956</v>
      </c>
      <c r="L12" s="124">
        <v>569</v>
      </c>
      <c r="M12" s="163">
        <v>2057</v>
      </c>
      <c r="N12" s="163">
        <f>67892-145</f>
        <v>67747</v>
      </c>
      <c r="O12" s="163">
        <v>3527</v>
      </c>
      <c r="P12" s="164"/>
    </row>
    <row r="13" spans="1:16" ht="12.75" customHeight="1">
      <c r="A13" s="121">
        <v>8</v>
      </c>
      <c r="B13" s="122" t="s">
        <v>231</v>
      </c>
      <c r="C13" s="123">
        <f t="shared" si="0"/>
        <v>35576</v>
      </c>
      <c r="D13" s="124"/>
      <c r="E13" s="124"/>
      <c r="F13" s="124"/>
      <c r="G13" s="124"/>
      <c r="H13" s="124"/>
      <c r="I13" s="124">
        <v>84</v>
      </c>
      <c r="J13" s="124">
        <v>300</v>
      </c>
      <c r="K13" s="163">
        <v>3457</v>
      </c>
      <c r="L13" s="124">
        <v>611</v>
      </c>
      <c r="M13" s="163">
        <v>2000</v>
      </c>
      <c r="N13" s="163">
        <f>25529-76</f>
        <v>25453</v>
      </c>
      <c r="O13" s="163">
        <v>3671</v>
      </c>
      <c r="P13" s="164"/>
    </row>
    <row r="14" spans="1:16" ht="17.25" customHeight="1">
      <c r="A14" s="121">
        <v>9</v>
      </c>
      <c r="B14" s="122" t="s">
        <v>286</v>
      </c>
      <c r="C14" s="123">
        <f t="shared" si="0"/>
        <v>11071</v>
      </c>
      <c r="D14" s="124"/>
      <c r="E14" s="124"/>
      <c r="F14" s="124"/>
      <c r="G14" s="124"/>
      <c r="H14" s="124"/>
      <c r="I14" s="124"/>
      <c r="J14" s="124"/>
      <c r="K14" s="124">
        <v>848</v>
      </c>
      <c r="L14" s="124">
        <v>400</v>
      </c>
      <c r="M14" s="124"/>
      <c r="N14" s="163">
        <f>6328-5</f>
        <v>6323</v>
      </c>
      <c r="O14" s="163">
        <v>3500</v>
      </c>
      <c r="P14" s="164"/>
    </row>
    <row r="15" spans="1:16" ht="16.5" customHeight="1">
      <c r="A15" s="121">
        <v>10</v>
      </c>
      <c r="B15" s="122" t="s">
        <v>311</v>
      </c>
      <c r="C15" s="123">
        <f t="shared" si="0"/>
        <v>15130</v>
      </c>
      <c r="D15" s="124"/>
      <c r="E15" s="124"/>
      <c r="F15" s="124"/>
      <c r="G15" s="124"/>
      <c r="H15" s="124"/>
      <c r="I15" s="124"/>
      <c r="J15" s="124"/>
      <c r="K15" s="163">
        <v>1560</v>
      </c>
      <c r="L15" s="124"/>
      <c r="M15" s="124"/>
      <c r="N15" s="163">
        <f>12636-2</f>
        <v>12634</v>
      </c>
      <c r="O15" s="124">
        <v>936</v>
      </c>
      <c r="P15" s="164"/>
    </row>
    <row r="16" spans="1:16" ht="21" customHeight="1">
      <c r="A16" s="121"/>
      <c r="B16" s="122" t="s">
        <v>312</v>
      </c>
      <c r="C16" s="123">
        <f t="shared" si="0"/>
        <v>16048</v>
      </c>
      <c r="D16" s="124"/>
      <c r="E16" s="124"/>
      <c r="F16" s="124"/>
      <c r="G16" s="124"/>
      <c r="H16" s="124"/>
      <c r="I16" s="124"/>
      <c r="J16" s="163">
        <v>16048</v>
      </c>
      <c r="K16" s="124"/>
      <c r="L16" s="124"/>
      <c r="M16" s="124"/>
      <c r="N16" s="124"/>
      <c r="O16" s="124"/>
      <c r="P16" s="164"/>
    </row>
    <row r="17" spans="1:16">
      <c r="A17" s="125"/>
      <c r="B17" s="126" t="s">
        <v>238</v>
      </c>
      <c r="C17" s="127">
        <f>SUM(C6:C16)</f>
        <v>178123</v>
      </c>
      <c r="D17" s="166">
        <f t="shared" ref="D17:P17" si="1">SUM(D6:D16)</f>
        <v>50</v>
      </c>
      <c r="E17" s="166">
        <f t="shared" si="1"/>
        <v>198</v>
      </c>
      <c r="F17" s="166">
        <f t="shared" si="1"/>
        <v>120</v>
      </c>
      <c r="G17" s="166">
        <f t="shared" si="1"/>
        <v>15</v>
      </c>
      <c r="H17" s="166">
        <f t="shared" si="1"/>
        <v>228</v>
      </c>
      <c r="I17" s="166">
        <f t="shared" si="1"/>
        <v>712</v>
      </c>
      <c r="J17" s="166">
        <f t="shared" si="1"/>
        <v>16679</v>
      </c>
      <c r="K17" s="166">
        <f t="shared" si="1"/>
        <v>18537</v>
      </c>
      <c r="L17" s="166">
        <f t="shared" si="1"/>
        <v>1736</v>
      </c>
      <c r="M17" s="166">
        <f t="shared" si="1"/>
        <v>4668</v>
      </c>
      <c r="N17" s="166">
        <f t="shared" si="1"/>
        <v>118544</v>
      </c>
      <c r="O17" s="166">
        <f t="shared" si="1"/>
        <v>15541</v>
      </c>
      <c r="P17" s="166">
        <f t="shared" si="1"/>
        <v>1095</v>
      </c>
    </row>
    <row r="18" spans="1:16">
      <c r="C18" s="128">
        <f>C17-[2]Гемодиализ!C17</f>
        <v>0</v>
      </c>
      <c r="D18" s="167">
        <f>D17-[2]Гемодиализ!D17</f>
        <v>0</v>
      </c>
      <c r="E18" s="167">
        <f>E17-[2]Гемодиализ!E17</f>
        <v>0</v>
      </c>
      <c r="F18" s="167">
        <f>F17-[2]Гемодиализ!F17</f>
        <v>0</v>
      </c>
      <c r="G18" s="167">
        <f>G17-[2]Гемодиализ!G17</f>
        <v>0</v>
      </c>
      <c r="H18" s="167"/>
      <c r="I18" s="167">
        <f>I17-[2]Гемодиализ!H17</f>
        <v>0</v>
      </c>
      <c r="J18" s="167">
        <f>J17-[2]Гемодиализ!I17</f>
        <v>0</v>
      </c>
      <c r="K18" s="167">
        <f>K17-[2]Гемодиализ!J17</f>
        <v>0</v>
      </c>
      <c r="L18" s="167">
        <f>L17-[2]Гемодиализ!K17</f>
        <v>0</v>
      </c>
      <c r="M18" s="167">
        <f>M17-[2]Гемодиализ!L17</f>
        <v>0</v>
      </c>
      <c r="N18" s="167">
        <f>N17-[2]Гемодиализ!M17</f>
        <v>-228</v>
      </c>
      <c r="O18" s="167">
        <f>O17-[2]Гемодиализ!N17</f>
        <v>0</v>
      </c>
      <c r="P18" s="167">
        <f>P17-[2]Гемодиализ!O17</f>
        <v>0</v>
      </c>
    </row>
  </sheetData>
  <mergeCells count="19">
    <mergeCell ref="A1:P1"/>
    <mergeCell ref="A3:A5"/>
    <mergeCell ref="B3:B5"/>
    <mergeCell ref="C3:C5"/>
    <mergeCell ref="D3:G3"/>
    <mergeCell ref="J3:L3"/>
    <mergeCell ref="M3:P3"/>
    <mergeCell ref="D4:D5"/>
    <mergeCell ref="E4:E5"/>
    <mergeCell ref="F4:G4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" right="0" top="0" bottom="0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pane xSplit="2" ySplit="4" topLeftCell="C32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2.75"/>
  <cols>
    <col min="1" max="1" width="4.42578125" style="106" customWidth="1"/>
    <col min="2" max="2" width="33.85546875" style="61" customWidth="1"/>
    <col min="3" max="3" width="9.42578125" style="107" customWidth="1"/>
    <col min="4" max="7" width="9.140625" style="107"/>
    <col min="8" max="8" width="8.140625" style="107" customWidth="1"/>
    <col min="9" max="10" width="9.140625" style="107"/>
    <col min="11" max="11" width="8.5703125" style="107" customWidth="1"/>
    <col min="12" max="12" width="9.42578125" style="107" customWidth="1"/>
    <col min="13" max="13" width="10" style="107" customWidth="1"/>
    <col min="14" max="14" width="10.28515625" style="107" customWidth="1"/>
    <col min="15" max="15" width="13" style="107" customWidth="1"/>
    <col min="16" max="16" width="10.42578125" style="106" customWidth="1"/>
    <col min="17" max="16384" width="9.140625" style="61"/>
  </cols>
  <sheetData>
    <row r="1" spans="1:16" ht="44.25" customHeight="1">
      <c r="A1" s="152" t="s">
        <v>349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20.25" customHeight="1">
      <c r="P2" s="107" t="s">
        <v>316</v>
      </c>
    </row>
    <row r="3" spans="1:16" s="108" customFormat="1" ht="26.25" customHeight="1">
      <c r="A3" s="153" t="s">
        <v>36</v>
      </c>
      <c r="B3" s="153" t="s">
        <v>211</v>
      </c>
      <c r="C3" s="155" t="s">
        <v>317</v>
      </c>
      <c r="D3" s="156"/>
      <c r="E3" s="156"/>
      <c r="F3" s="157"/>
      <c r="G3" s="155" t="s">
        <v>318</v>
      </c>
      <c r="H3" s="156"/>
      <c r="I3" s="156"/>
      <c r="J3" s="157"/>
      <c r="K3" s="155" t="s">
        <v>319</v>
      </c>
      <c r="L3" s="156"/>
      <c r="M3" s="157"/>
      <c r="N3" s="158" t="s">
        <v>320</v>
      </c>
      <c r="O3" s="158" t="s">
        <v>321</v>
      </c>
      <c r="P3" s="153" t="s">
        <v>238</v>
      </c>
    </row>
    <row r="4" spans="1:16" s="108" customFormat="1" ht="27" customHeight="1">
      <c r="A4" s="154"/>
      <c r="B4" s="154"/>
      <c r="C4" s="109" t="s">
        <v>322</v>
      </c>
      <c r="D4" s="109" t="s">
        <v>323</v>
      </c>
      <c r="E4" s="110" t="s">
        <v>324</v>
      </c>
      <c r="F4" s="110" t="s">
        <v>35</v>
      </c>
      <c r="G4" s="109" t="s">
        <v>322</v>
      </c>
      <c r="H4" s="109" t="s">
        <v>323</v>
      </c>
      <c r="I4" s="110" t="s">
        <v>324</v>
      </c>
      <c r="J4" s="110" t="s">
        <v>35</v>
      </c>
      <c r="K4" s="111" t="s">
        <v>325</v>
      </c>
      <c r="L4" s="110" t="s">
        <v>326</v>
      </c>
      <c r="M4" s="110" t="s">
        <v>35</v>
      </c>
      <c r="N4" s="159"/>
      <c r="O4" s="159"/>
      <c r="P4" s="154"/>
    </row>
    <row r="5" spans="1:16">
      <c r="A5" s="112">
        <v>1</v>
      </c>
      <c r="B5" s="113" t="s">
        <v>55</v>
      </c>
      <c r="C5" s="114">
        <v>1582</v>
      </c>
      <c r="D5" s="114">
        <v>195</v>
      </c>
      <c r="E5" s="114"/>
      <c r="F5" s="114">
        <f t="shared" ref="F5:F14" si="0">C5+D5+E5</f>
        <v>1777</v>
      </c>
      <c r="G5" s="114"/>
      <c r="H5" s="114"/>
      <c r="I5" s="114"/>
      <c r="J5" s="114"/>
      <c r="K5" s="114"/>
      <c r="L5" s="114"/>
      <c r="M5" s="114"/>
      <c r="N5" s="114"/>
      <c r="O5" s="114"/>
      <c r="P5" s="114">
        <f>F5+J5+M5+N5+O5</f>
        <v>1777</v>
      </c>
    </row>
    <row r="6" spans="1:16">
      <c r="A6" s="112">
        <v>2</v>
      </c>
      <c r="B6" s="113" t="s">
        <v>66</v>
      </c>
      <c r="C6" s="114">
        <f>2520+87</f>
        <v>2607</v>
      </c>
      <c r="D6" s="114"/>
      <c r="E6" s="114">
        <v>100</v>
      </c>
      <c r="F6" s="114">
        <f t="shared" si="0"/>
        <v>2707</v>
      </c>
      <c r="G6" s="114"/>
      <c r="H6" s="114"/>
      <c r="I6" s="114"/>
      <c r="J6" s="114"/>
      <c r="K6" s="114"/>
      <c r="L6" s="114"/>
      <c r="M6" s="114"/>
      <c r="N6" s="114"/>
      <c r="O6" s="114"/>
      <c r="P6" s="114">
        <f t="shared" ref="P6:P49" si="1">F6+J6+M6+N6+O6</f>
        <v>2707</v>
      </c>
    </row>
    <row r="7" spans="1:16">
      <c r="A7" s="112">
        <v>3</v>
      </c>
      <c r="B7" s="113" t="s">
        <v>67</v>
      </c>
      <c r="C7" s="114">
        <v>392</v>
      </c>
      <c r="D7" s="114">
        <v>33</v>
      </c>
      <c r="E7" s="114"/>
      <c r="F7" s="114">
        <f t="shared" si="0"/>
        <v>425</v>
      </c>
      <c r="G7" s="114"/>
      <c r="H7" s="114"/>
      <c r="I7" s="114"/>
      <c r="J7" s="114"/>
      <c r="K7" s="114"/>
      <c r="L7" s="114"/>
      <c r="M7" s="114"/>
      <c r="N7" s="114"/>
      <c r="O7" s="114"/>
      <c r="P7" s="114">
        <f t="shared" si="1"/>
        <v>425</v>
      </c>
    </row>
    <row r="8" spans="1:16">
      <c r="A8" s="112">
        <v>4</v>
      </c>
      <c r="B8" s="113" t="s">
        <v>72</v>
      </c>
      <c r="C8" s="114">
        <v>2060</v>
      </c>
      <c r="D8" s="114">
        <v>25</v>
      </c>
      <c r="E8" s="114">
        <v>132</v>
      </c>
      <c r="F8" s="114">
        <f t="shared" si="0"/>
        <v>2217</v>
      </c>
      <c r="G8" s="114"/>
      <c r="H8" s="114"/>
      <c r="I8" s="114"/>
      <c r="J8" s="114"/>
      <c r="K8" s="114"/>
      <c r="L8" s="114"/>
      <c r="M8" s="114"/>
      <c r="N8" s="114"/>
      <c r="O8" s="114"/>
      <c r="P8" s="114">
        <f t="shared" si="1"/>
        <v>2217</v>
      </c>
    </row>
    <row r="9" spans="1:16">
      <c r="A9" s="112">
        <v>5</v>
      </c>
      <c r="B9" s="113" t="s">
        <v>74</v>
      </c>
      <c r="C9" s="114">
        <v>1624</v>
      </c>
      <c r="D9" s="114"/>
      <c r="E9" s="114"/>
      <c r="F9" s="114">
        <f t="shared" si="0"/>
        <v>1624</v>
      </c>
      <c r="G9" s="114"/>
      <c r="H9" s="114"/>
      <c r="I9" s="114"/>
      <c r="J9" s="114"/>
      <c r="K9" s="114"/>
      <c r="L9" s="114"/>
      <c r="M9" s="114"/>
      <c r="N9" s="114"/>
      <c r="O9" s="114"/>
      <c r="P9" s="114">
        <f t="shared" si="1"/>
        <v>1624</v>
      </c>
    </row>
    <row r="10" spans="1:16">
      <c r="A10" s="112">
        <v>6</v>
      </c>
      <c r="B10" s="113" t="s">
        <v>327</v>
      </c>
      <c r="C10" s="114">
        <v>2200</v>
      </c>
      <c r="D10" s="114">
        <v>199</v>
      </c>
      <c r="E10" s="114">
        <v>35</v>
      </c>
      <c r="F10" s="114">
        <f t="shared" si="0"/>
        <v>2434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>
        <f t="shared" si="1"/>
        <v>2434</v>
      </c>
    </row>
    <row r="11" spans="1:16">
      <c r="A11" s="112">
        <v>7</v>
      </c>
      <c r="B11" s="113" t="s">
        <v>8</v>
      </c>
      <c r="C11" s="114">
        <v>900</v>
      </c>
      <c r="D11" s="114">
        <v>400</v>
      </c>
      <c r="E11" s="114"/>
      <c r="F11" s="114">
        <f t="shared" si="0"/>
        <v>1300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>
        <f t="shared" si="1"/>
        <v>1300</v>
      </c>
    </row>
    <row r="12" spans="1:16">
      <c r="A12" s="112">
        <v>8</v>
      </c>
      <c r="B12" s="113" t="s">
        <v>96</v>
      </c>
      <c r="C12" s="114">
        <v>389</v>
      </c>
      <c r="D12" s="114"/>
      <c r="E12" s="114"/>
      <c r="F12" s="114">
        <f t="shared" si="0"/>
        <v>389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>
        <f t="shared" si="1"/>
        <v>389</v>
      </c>
    </row>
    <row r="13" spans="1:16">
      <c r="A13" s="112">
        <v>9</v>
      </c>
      <c r="B13" s="104" t="s">
        <v>328</v>
      </c>
      <c r="C13" s="114">
        <v>1500</v>
      </c>
      <c r="D13" s="114">
        <v>105</v>
      </c>
      <c r="E13" s="114">
        <v>100</v>
      </c>
      <c r="F13" s="114">
        <f t="shared" si="0"/>
        <v>1705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>
        <f t="shared" si="1"/>
        <v>1705</v>
      </c>
    </row>
    <row r="14" spans="1:16">
      <c r="A14" s="112">
        <v>10</v>
      </c>
      <c r="B14" s="104" t="s">
        <v>102</v>
      </c>
      <c r="C14" s="114">
        <v>1650</v>
      </c>
      <c r="D14" s="114">
        <v>128</v>
      </c>
      <c r="E14" s="114">
        <v>26</v>
      </c>
      <c r="F14" s="114">
        <f t="shared" si="0"/>
        <v>1804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>
        <f t="shared" si="1"/>
        <v>1804</v>
      </c>
    </row>
    <row r="15" spans="1:16">
      <c r="A15" s="112">
        <v>11</v>
      </c>
      <c r="B15" s="113" t="s">
        <v>329</v>
      </c>
      <c r="C15" s="114"/>
      <c r="D15" s="114"/>
      <c r="E15" s="114"/>
      <c r="F15" s="114"/>
      <c r="G15" s="114">
        <v>625</v>
      </c>
      <c r="H15" s="114"/>
      <c r="I15" s="114"/>
      <c r="J15" s="114">
        <f>G15+H15+I15</f>
        <v>625</v>
      </c>
      <c r="K15" s="114"/>
      <c r="L15" s="114"/>
      <c r="M15" s="114"/>
      <c r="N15" s="114"/>
      <c r="O15" s="114"/>
      <c r="P15" s="114">
        <f t="shared" si="1"/>
        <v>625</v>
      </c>
    </row>
    <row r="16" spans="1:16">
      <c r="A16" s="112">
        <v>12</v>
      </c>
      <c r="B16" s="105" t="s">
        <v>330</v>
      </c>
      <c r="C16" s="114">
        <v>3200</v>
      </c>
      <c r="D16" s="114">
        <v>250</v>
      </c>
      <c r="E16" s="114">
        <v>100</v>
      </c>
      <c r="F16" s="114">
        <f t="shared" ref="F16:F48" si="2">C16+D16+E16</f>
        <v>3550</v>
      </c>
      <c r="G16" s="114">
        <v>1440</v>
      </c>
      <c r="H16" s="114">
        <v>100</v>
      </c>
      <c r="I16" s="114"/>
      <c r="J16" s="114">
        <f>G16+H16+I16</f>
        <v>1540</v>
      </c>
      <c r="K16" s="114"/>
      <c r="L16" s="114"/>
      <c r="M16" s="114"/>
      <c r="N16" s="114">
        <v>30000</v>
      </c>
      <c r="O16" s="114"/>
      <c r="P16" s="114">
        <f t="shared" si="1"/>
        <v>35090</v>
      </c>
    </row>
    <row r="17" spans="1:16">
      <c r="A17" s="112">
        <v>13</v>
      </c>
      <c r="B17" s="105" t="s">
        <v>331</v>
      </c>
      <c r="C17" s="114">
        <v>2475</v>
      </c>
      <c r="D17" s="114">
        <v>260</v>
      </c>
      <c r="E17" s="114"/>
      <c r="F17" s="114">
        <f t="shared" si="2"/>
        <v>2735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>
        <f t="shared" si="1"/>
        <v>2735</v>
      </c>
    </row>
    <row r="18" spans="1:16">
      <c r="A18" s="112">
        <v>14</v>
      </c>
      <c r="B18" s="113" t="s">
        <v>117</v>
      </c>
      <c r="C18" s="114">
        <v>300</v>
      </c>
      <c r="D18" s="114">
        <v>188</v>
      </c>
      <c r="E18" s="114"/>
      <c r="F18" s="114">
        <f t="shared" si="2"/>
        <v>488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>
        <f t="shared" si="1"/>
        <v>488</v>
      </c>
    </row>
    <row r="19" spans="1:16">
      <c r="A19" s="112">
        <v>15</v>
      </c>
      <c r="B19" s="105" t="s">
        <v>332</v>
      </c>
      <c r="C19" s="114">
        <f>2500+300</f>
        <v>2800</v>
      </c>
      <c r="D19" s="114">
        <v>248</v>
      </c>
      <c r="E19" s="114"/>
      <c r="F19" s="114">
        <f t="shared" si="2"/>
        <v>3048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>
        <f t="shared" si="1"/>
        <v>3048</v>
      </c>
    </row>
    <row r="20" spans="1:16">
      <c r="A20" s="112">
        <v>16</v>
      </c>
      <c r="B20" s="113" t="s">
        <v>120</v>
      </c>
      <c r="C20" s="114">
        <f>2600-300</f>
        <v>2300</v>
      </c>
      <c r="D20" s="114">
        <v>280</v>
      </c>
      <c r="E20" s="114"/>
      <c r="F20" s="114">
        <f t="shared" si="2"/>
        <v>2580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>
        <f t="shared" si="1"/>
        <v>2580</v>
      </c>
    </row>
    <row r="21" spans="1:16">
      <c r="A21" s="112">
        <v>17</v>
      </c>
      <c r="B21" s="105" t="s">
        <v>333</v>
      </c>
      <c r="C21" s="114">
        <v>4400</v>
      </c>
      <c r="D21" s="114">
        <v>440</v>
      </c>
      <c r="E21" s="114"/>
      <c r="F21" s="114">
        <f t="shared" si="2"/>
        <v>4840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>
        <f t="shared" si="1"/>
        <v>4840</v>
      </c>
    </row>
    <row r="22" spans="1:16">
      <c r="A22" s="112">
        <v>18</v>
      </c>
      <c r="B22" s="105" t="s">
        <v>334</v>
      </c>
      <c r="C22" s="114">
        <v>344</v>
      </c>
      <c r="D22" s="114">
        <v>34</v>
      </c>
      <c r="E22" s="114"/>
      <c r="F22" s="114">
        <f t="shared" si="2"/>
        <v>378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>
        <f t="shared" si="1"/>
        <v>378</v>
      </c>
    </row>
    <row r="23" spans="1:16">
      <c r="A23" s="112">
        <v>19</v>
      </c>
      <c r="B23" s="113" t="s">
        <v>132</v>
      </c>
      <c r="C23" s="114">
        <v>1290</v>
      </c>
      <c r="D23" s="114"/>
      <c r="E23" s="114"/>
      <c r="F23" s="114">
        <f t="shared" si="2"/>
        <v>1290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>
        <f t="shared" si="1"/>
        <v>1290</v>
      </c>
    </row>
    <row r="24" spans="1:16">
      <c r="A24" s="112">
        <v>20</v>
      </c>
      <c r="B24" s="105" t="s">
        <v>335</v>
      </c>
      <c r="C24" s="114">
        <v>1920</v>
      </c>
      <c r="D24" s="114">
        <v>223</v>
      </c>
      <c r="E24" s="114"/>
      <c r="F24" s="114">
        <f t="shared" si="2"/>
        <v>2143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>
        <f t="shared" si="1"/>
        <v>2143</v>
      </c>
    </row>
    <row r="25" spans="1:16">
      <c r="A25" s="112">
        <v>21</v>
      </c>
      <c r="B25" s="113" t="s">
        <v>336</v>
      </c>
      <c r="C25" s="114">
        <v>1850</v>
      </c>
      <c r="D25" s="114"/>
      <c r="E25" s="114"/>
      <c r="F25" s="114">
        <f t="shared" si="2"/>
        <v>1850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>
        <f t="shared" si="1"/>
        <v>1850</v>
      </c>
    </row>
    <row r="26" spans="1:16">
      <c r="A26" s="112">
        <v>22</v>
      </c>
      <c r="B26" s="113" t="s">
        <v>337</v>
      </c>
      <c r="C26" s="114">
        <v>1200</v>
      </c>
      <c r="D26" s="114"/>
      <c r="E26" s="114"/>
      <c r="F26" s="114">
        <f t="shared" si="2"/>
        <v>1200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>
        <f t="shared" si="1"/>
        <v>1200</v>
      </c>
    </row>
    <row r="27" spans="1:16">
      <c r="A27" s="112">
        <v>23</v>
      </c>
      <c r="B27" s="113" t="s">
        <v>338</v>
      </c>
      <c r="C27" s="114">
        <v>5380</v>
      </c>
      <c r="D27" s="114">
        <v>310</v>
      </c>
      <c r="E27" s="114"/>
      <c r="F27" s="114">
        <f t="shared" si="2"/>
        <v>5690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>
        <f t="shared" si="1"/>
        <v>5690</v>
      </c>
    </row>
    <row r="28" spans="1:16">
      <c r="A28" s="112">
        <v>24</v>
      </c>
      <c r="B28" s="113" t="s">
        <v>339</v>
      </c>
      <c r="C28" s="114">
        <v>3300</v>
      </c>
      <c r="D28" s="114">
        <v>393</v>
      </c>
      <c r="E28" s="114"/>
      <c r="F28" s="114">
        <f t="shared" si="2"/>
        <v>3693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>
        <f t="shared" si="1"/>
        <v>3693</v>
      </c>
    </row>
    <row r="29" spans="1:16">
      <c r="A29" s="112">
        <v>25</v>
      </c>
      <c r="B29" s="113" t="s">
        <v>165</v>
      </c>
      <c r="C29" s="114">
        <v>835</v>
      </c>
      <c r="D29" s="114">
        <v>150</v>
      </c>
      <c r="E29" s="114"/>
      <c r="F29" s="114">
        <f t="shared" si="2"/>
        <v>985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>
        <f t="shared" si="1"/>
        <v>985</v>
      </c>
    </row>
    <row r="30" spans="1:16">
      <c r="A30" s="112">
        <v>26</v>
      </c>
      <c r="B30" s="113" t="s">
        <v>263</v>
      </c>
      <c r="C30" s="114">
        <v>2700</v>
      </c>
      <c r="D30" s="114">
        <v>400</v>
      </c>
      <c r="E30" s="114">
        <v>20</v>
      </c>
      <c r="F30" s="114">
        <f t="shared" si="2"/>
        <v>3120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>
        <f t="shared" si="1"/>
        <v>3120</v>
      </c>
    </row>
    <row r="31" spans="1:16">
      <c r="A31" s="112">
        <v>27</v>
      </c>
      <c r="B31" s="113" t="s">
        <v>4</v>
      </c>
      <c r="C31" s="114">
        <f>2300-87</f>
        <v>2213</v>
      </c>
      <c r="D31" s="114">
        <v>85</v>
      </c>
      <c r="E31" s="114">
        <v>5</v>
      </c>
      <c r="F31" s="114">
        <f t="shared" si="2"/>
        <v>2303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>
        <f t="shared" si="1"/>
        <v>2303</v>
      </c>
    </row>
    <row r="32" spans="1:16">
      <c r="A32" s="112">
        <v>28</v>
      </c>
      <c r="B32" s="113" t="s">
        <v>5</v>
      </c>
      <c r="C32" s="114">
        <v>3500</v>
      </c>
      <c r="D32" s="114">
        <v>390</v>
      </c>
      <c r="E32" s="114">
        <v>200</v>
      </c>
      <c r="F32" s="114">
        <f t="shared" si="2"/>
        <v>4090</v>
      </c>
      <c r="G32" s="114">
        <v>3544</v>
      </c>
      <c r="H32" s="114">
        <v>205</v>
      </c>
      <c r="I32" s="114">
        <v>100</v>
      </c>
      <c r="J32" s="114">
        <f t="shared" ref="J32" si="3">G32+H32+I32</f>
        <v>3849</v>
      </c>
      <c r="K32" s="114"/>
      <c r="L32" s="114"/>
      <c r="M32" s="114"/>
      <c r="N32" s="114"/>
      <c r="O32" s="114"/>
      <c r="P32" s="114">
        <f t="shared" si="1"/>
        <v>7939</v>
      </c>
    </row>
    <row r="33" spans="1:16">
      <c r="A33" s="112">
        <v>29</v>
      </c>
      <c r="B33" s="113" t="s">
        <v>173</v>
      </c>
      <c r="C33" s="114">
        <v>220</v>
      </c>
      <c r="D33" s="114"/>
      <c r="E33" s="114"/>
      <c r="F33" s="114">
        <f>C33+D33+E33</f>
        <v>220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>
        <f t="shared" si="1"/>
        <v>220</v>
      </c>
    </row>
    <row r="34" spans="1:16" ht="36" customHeight="1">
      <c r="A34" s="112">
        <v>30</v>
      </c>
      <c r="B34" s="115" t="s">
        <v>184</v>
      </c>
      <c r="C34" s="114">
        <v>885</v>
      </c>
      <c r="D34" s="114">
        <v>88</v>
      </c>
      <c r="E34" s="114"/>
      <c r="F34" s="114">
        <f>C34+D34+E34</f>
        <v>973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>
        <f t="shared" si="1"/>
        <v>973</v>
      </c>
    </row>
    <row r="35" spans="1:16">
      <c r="A35" s="112">
        <v>31</v>
      </c>
      <c r="B35" s="113" t="s">
        <v>340</v>
      </c>
      <c r="C35" s="114">
        <v>6500</v>
      </c>
      <c r="D35" s="114"/>
      <c r="E35" s="114">
        <v>2130</v>
      </c>
      <c r="F35" s="114">
        <f>C35+D35+E35</f>
        <v>8630</v>
      </c>
      <c r="G35" s="114">
        <f>2000+106</f>
        <v>2106</v>
      </c>
      <c r="H35" s="114">
        <v>100</v>
      </c>
      <c r="I35" s="114"/>
      <c r="J35" s="114">
        <f t="shared" ref="J35:J42" si="4">G35+H35+I35</f>
        <v>2206</v>
      </c>
      <c r="K35" s="114"/>
      <c r="L35" s="114"/>
      <c r="M35" s="114"/>
      <c r="N35" s="114"/>
      <c r="O35" s="114"/>
      <c r="P35" s="114">
        <f t="shared" si="1"/>
        <v>10836</v>
      </c>
    </row>
    <row r="36" spans="1:16">
      <c r="A36" s="112">
        <v>32</v>
      </c>
      <c r="B36" s="113" t="s">
        <v>341</v>
      </c>
      <c r="C36" s="114"/>
      <c r="D36" s="114"/>
      <c r="E36" s="114"/>
      <c r="F36" s="114"/>
      <c r="G36" s="114">
        <f>106-106</f>
        <v>0</v>
      </c>
      <c r="H36" s="114"/>
      <c r="I36" s="114"/>
      <c r="J36" s="114">
        <f t="shared" si="4"/>
        <v>0</v>
      </c>
      <c r="K36" s="114"/>
      <c r="L36" s="114"/>
      <c r="M36" s="114"/>
      <c r="N36" s="114"/>
      <c r="O36" s="114"/>
      <c r="P36" s="114">
        <f t="shared" si="1"/>
        <v>0</v>
      </c>
    </row>
    <row r="37" spans="1:16">
      <c r="A37" s="112">
        <v>33</v>
      </c>
      <c r="B37" s="113" t="s">
        <v>342</v>
      </c>
      <c r="C37" s="114"/>
      <c r="D37" s="114"/>
      <c r="E37" s="114"/>
      <c r="F37" s="114"/>
      <c r="G37" s="114">
        <v>390</v>
      </c>
      <c r="H37" s="114"/>
      <c r="I37" s="114"/>
      <c r="J37" s="114">
        <f t="shared" si="4"/>
        <v>390</v>
      </c>
      <c r="K37" s="114"/>
      <c r="L37" s="114"/>
      <c r="M37" s="114"/>
      <c r="N37" s="114"/>
      <c r="O37" s="114"/>
      <c r="P37" s="114">
        <f t="shared" si="1"/>
        <v>390</v>
      </c>
    </row>
    <row r="38" spans="1:16">
      <c r="A38" s="112">
        <v>34</v>
      </c>
      <c r="B38" s="113" t="s">
        <v>343</v>
      </c>
      <c r="C38" s="114"/>
      <c r="D38" s="114"/>
      <c r="E38" s="114"/>
      <c r="F38" s="114"/>
      <c r="G38" s="114">
        <v>700</v>
      </c>
      <c r="H38" s="114">
        <v>38</v>
      </c>
      <c r="I38" s="114"/>
      <c r="J38" s="114">
        <f t="shared" si="4"/>
        <v>738</v>
      </c>
      <c r="K38" s="114"/>
      <c r="L38" s="114"/>
      <c r="M38" s="114"/>
      <c r="N38" s="114"/>
      <c r="O38" s="114"/>
      <c r="P38" s="114">
        <f t="shared" si="1"/>
        <v>738</v>
      </c>
    </row>
    <row r="39" spans="1:16">
      <c r="A39" s="112">
        <v>35</v>
      </c>
      <c r="B39" s="113" t="s">
        <v>344</v>
      </c>
      <c r="C39" s="114">
        <v>913</v>
      </c>
      <c r="D39" s="114">
        <v>87</v>
      </c>
      <c r="E39" s="114"/>
      <c r="F39" s="114">
        <f>C39+D39+E39</f>
        <v>1000</v>
      </c>
      <c r="G39" s="114">
        <v>134</v>
      </c>
      <c r="H39" s="114">
        <v>6</v>
      </c>
      <c r="I39" s="114"/>
      <c r="J39" s="114">
        <f t="shared" si="4"/>
        <v>140</v>
      </c>
      <c r="K39" s="114"/>
      <c r="L39" s="114"/>
      <c r="M39" s="114"/>
      <c r="N39" s="114"/>
      <c r="O39" s="114"/>
      <c r="P39" s="114">
        <f t="shared" si="1"/>
        <v>1140</v>
      </c>
    </row>
    <row r="40" spans="1:16">
      <c r="A40" s="112">
        <v>36</v>
      </c>
      <c r="B40" s="113" t="s">
        <v>345</v>
      </c>
      <c r="C40" s="114"/>
      <c r="D40" s="114"/>
      <c r="E40" s="114"/>
      <c r="F40" s="114"/>
      <c r="G40" s="114">
        <v>1235</v>
      </c>
      <c r="H40" s="114"/>
      <c r="I40" s="114"/>
      <c r="J40" s="114">
        <f t="shared" si="4"/>
        <v>1235</v>
      </c>
      <c r="K40" s="114"/>
      <c r="L40" s="114"/>
      <c r="M40" s="114"/>
      <c r="N40" s="114"/>
      <c r="O40" s="114"/>
      <c r="P40" s="114">
        <f t="shared" si="1"/>
        <v>1235</v>
      </c>
    </row>
    <row r="41" spans="1:16">
      <c r="A41" s="112">
        <v>37</v>
      </c>
      <c r="B41" s="113" t="s">
        <v>306</v>
      </c>
      <c r="C41" s="114">
        <v>9800</v>
      </c>
      <c r="D41" s="114"/>
      <c r="E41" s="114">
        <v>1065</v>
      </c>
      <c r="F41" s="114">
        <f>C41+D41+E41</f>
        <v>10865</v>
      </c>
      <c r="G41" s="114">
        <v>5550</v>
      </c>
      <c r="H41" s="114"/>
      <c r="I41" s="114">
        <v>660</v>
      </c>
      <c r="J41" s="114">
        <f t="shared" si="4"/>
        <v>6210</v>
      </c>
      <c r="K41" s="114">
        <v>4000</v>
      </c>
      <c r="L41" s="114">
        <v>1050</v>
      </c>
      <c r="M41" s="114">
        <f>K41+L41</f>
        <v>5050</v>
      </c>
      <c r="N41" s="114"/>
      <c r="O41" s="114"/>
      <c r="P41" s="114">
        <f t="shared" si="1"/>
        <v>22125</v>
      </c>
    </row>
    <row r="42" spans="1:16">
      <c r="A42" s="112">
        <v>38</v>
      </c>
      <c r="B42" s="113" t="s">
        <v>198</v>
      </c>
      <c r="C42" s="114">
        <v>11000</v>
      </c>
      <c r="D42" s="114">
        <v>46</v>
      </c>
      <c r="E42" s="114">
        <v>4310</v>
      </c>
      <c r="F42" s="114">
        <f>C42+D42+E42</f>
        <v>15356</v>
      </c>
      <c r="G42" s="114">
        <v>5070</v>
      </c>
      <c r="H42" s="114">
        <v>10</v>
      </c>
      <c r="I42" s="114">
        <v>385</v>
      </c>
      <c r="J42" s="114">
        <f t="shared" si="4"/>
        <v>5465</v>
      </c>
      <c r="K42" s="114">
        <v>6100</v>
      </c>
      <c r="L42" s="114"/>
      <c r="M42" s="114">
        <f>K42+L42</f>
        <v>6100</v>
      </c>
      <c r="N42" s="114">
        <v>189000</v>
      </c>
      <c r="O42" s="114"/>
      <c r="P42" s="114">
        <f t="shared" si="1"/>
        <v>215921</v>
      </c>
    </row>
    <row r="43" spans="1:16">
      <c r="A43" s="112">
        <v>39</v>
      </c>
      <c r="B43" s="113" t="s">
        <v>11</v>
      </c>
      <c r="C43" s="114">
        <v>630</v>
      </c>
      <c r="D43" s="114"/>
      <c r="E43" s="114">
        <v>1760</v>
      </c>
      <c r="F43" s="114">
        <f>C43+D43+E43</f>
        <v>2390</v>
      </c>
      <c r="G43" s="114">
        <v>0</v>
      </c>
      <c r="H43" s="114"/>
      <c r="I43" s="114"/>
      <c r="J43" s="114"/>
      <c r="K43" s="114">
        <v>900</v>
      </c>
      <c r="L43" s="114"/>
      <c r="M43" s="114">
        <f>K43+L43</f>
        <v>900</v>
      </c>
      <c r="N43" s="114"/>
      <c r="O43" s="114"/>
      <c r="P43" s="114">
        <f t="shared" si="1"/>
        <v>3290</v>
      </c>
    </row>
    <row r="44" spans="1:16">
      <c r="A44" s="112">
        <v>40</v>
      </c>
      <c r="B44" s="104" t="s">
        <v>255</v>
      </c>
      <c r="C44" s="114">
        <v>2200</v>
      </c>
      <c r="D44" s="114"/>
      <c r="E44" s="114"/>
      <c r="F44" s="114">
        <f>C44+D44+E44</f>
        <v>2200</v>
      </c>
      <c r="G44" s="114">
        <v>2000</v>
      </c>
      <c r="H44" s="114"/>
      <c r="I44" s="114"/>
      <c r="J44" s="114">
        <f>G44+H44+I44</f>
        <v>2000</v>
      </c>
      <c r="K44" s="114"/>
      <c r="L44" s="114"/>
      <c r="M44" s="114"/>
      <c r="N44" s="114"/>
      <c r="O44" s="114"/>
      <c r="P44" s="114">
        <f t="shared" si="1"/>
        <v>4200</v>
      </c>
    </row>
    <row r="45" spans="1:16">
      <c r="A45" s="112">
        <v>41</v>
      </c>
      <c r="B45" s="104" t="s">
        <v>203</v>
      </c>
      <c r="C45" s="114"/>
      <c r="D45" s="114"/>
      <c r="E45" s="114"/>
      <c r="F45" s="114"/>
      <c r="G45" s="114">
        <f>2000+93</f>
        <v>2093</v>
      </c>
      <c r="H45" s="114">
        <v>50</v>
      </c>
      <c r="I45" s="114">
        <v>100</v>
      </c>
      <c r="J45" s="114">
        <f>G45+H45+I45</f>
        <v>2243</v>
      </c>
      <c r="K45" s="114"/>
      <c r="L45" s="114"/>
      <c r="M45" s="114"/>
      <c r="N45" s="114"/>
      <c r="O45" s="114"/>
      <c r="P45" s="114">
        <f t="shared" si="1"/>
        <v>2243</v>
      </c>
    </row>
    <row r="46" spans="1:16">
      <c r="A46" s="112">
        <v>42</v>
      </c>
      <c r="B46" s="113" t="s">
        <v>10</v>
      </c>
      <c r="C46" s="114">
        <v>1320</v>
      </c>
      <c r="D46" s="114">
        <v>150</v>
      </c>
      <c r="E46" s="114">
        <v>500</v>
      </c>
      <c r="F46" s="114">
        <f>C46+D46+E46</f>
        <v>1970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>
        <f t="shared" si="1"/>
        <v>1970</v>
      </c>
    </row>
    <row r="47" spans="1:16">
      <c r="A47" s="112">
        <v>43</v>
      </c>
      <c r="B47" s="113" t="s">
        <v>346</v>
      </c>
      <c r="C47" s="114">
        <v>5200</v>
      </c>
      <c r="D47" s="114">
        <v>700</v>
      </c>
      <c r="E47" s="114">
        <v>1000</v>
      </c>
      <c r="F47" s="114">
        <f>C47+D47+E47</f>
        <v>6900</v>
      </c>
      <c r="G47" s="114">
        <f>4576-193</f>
        <v>4383</v>
      </c>
      <c r="H47" s="114">
        <v>445</v>
      </c>
      <c r="I47" s="114">
        <v>100</v>
      </c>
      <c r="J47" s="114">
        <f>G47+H47+I47</f>
        <v>4928</v>
      </c>
      <c r="K47" s="114"/>
      <c r="L47" s="114"/>
      <c r="M47" s="114"/>
      <c r="N47" s="114"/>
      <c r="O47" s="114"/>
      <c r="P47" s="114">
        <f t="shared" si="1"/>
        <v>11828</v>
      </c>
    </row>
    <row r="48" spans="1:16">
      <c r="A48" s="112">
        <v>44</v>
      </c>
      <c r="B48" s="113" t="s">
        <v>347</v>
      </c>
      <c r="C48" s="114">
        <v>5200</v>
      </c>
      <c r="D48" s="114">
        <v>600</v>
      </c>
      <c r="E48" s="114"/>
      <c r="F48" s="114">
        <f t="shared" si="2"/>
        <v>5800</v>
      </c>
      <c r="G48" s="114"/>
      <c r="H48" s="114"/>
      <c r="I48" s="114"/>
      <c r="J48" s="114"/>
      <c r="K48" s="114">
        <v>2000</v>
      </c>
      <c r="L48" s="114"/>
      <c r="M48" s="114">
        <f t="shared" ref="M48" si="5">K48+L48</f>
        <v>2000</v>
      </c>
      <c r="N48" s="114"/>
      <c r="O48" s="114"/>
      <c r="P48" s="114">
        <f t="shared" si="1"/>
        <v>7800</v>
      </c>
    </row>
    <row r="49" spans="1:16">
      <c r="A49" s="112">
        <v>45</v>
      </c>
      <c r="B49" s="113" t="s">
        <v>348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>
        <v>5000</v>
      </c>
      <c r="P49" s="114">
        <f t="shared" si="1"/>
        <v>5000</v>
      </c>
    </row>
    <row r="50" spans="1:16">
      <c r="A50" s="112"/>
      <c r="B50" s="116" t="s">
        <v>238</v>
      </c>
      <c r="C50" s="117">
        <f>SUM(C5:C49)</f>
        <v>98779</v>
      </c>
      <c r="D50" s="117">
        <f t="shared" ref="D50:P50" si="6">SUM(D5:D49)</f>
        <v>6407</v>
      </c>
      <c r="E50" s="117">
        <f t="shared" si="6"/>
        <v>11483</v>
      </c>
      <c r="F50" s="117">
        <f t="shared" si="6"/>
        <v>116669</v>
      </c>
      <c r="G50" s="117">
        <f t="shared" si="6"/>
        <v>29270</v>
      </c>
      <c r="H50" s="117">
        <f t="shared" si="6"/>
        <v>954</v>
      </c>
      <c r="I50" s="117">
        <f t="shared" si="6"/>
        <v>1345</v>
      </c>
      <c r="J50" s="117">
        <f t="shared" si="6"/>
        <v>31569</v>
      </c>
      <c r="K50" s="117">
        <f t="shared" si="6"/>
        <v>13000</v>
      </c>
      <c r="L50" s="117">
        <f t="shared" si="6"/>
        <v>1050</v>
      </c>
      <c r="M50" s="117">
        <f t="shared" si="6"/>
        <v>14050</v>
      </c>
      <c r="N50" s="117">
        <f t="shared" si="6"/>
        <v>219000</v>
      </c>
      <c r="O50" s="117">
        <f t="shared" si="6"/>
        <v>5000</v>
      </c>
      <c r="P50" s="117">
        <f t="shared" si="6"/>
        <v>386288</v>
      </c>
    </row>
    <row r="51" spans="1:16">
      <c r="P51" s="107"/>
    </row>
    <row r="52" spans="1:16">
      <c r="P52" s="107"/>
    </row>
  </sheetData>
  <mergeCells count="9">
    <mergeCell ref="A1:P1"/>
    <mergeCell ref="A3:A4"/>
    <mergeCell ref="B3:B4"/>
    <mergeCell ref="C3:F3"/>
    <mergeCell ref="G3:J3"/>
    <mergeCell ref="K3:M3"/>
    <mergeCell ref="N3:N4"/>
    <mergeCell ref="O3:O4"/>
    <mergeCell ref="P3:P4"/>
  </mergeCells>
  <pageMargins left="0.39370078740157483" right="0.39370078740157483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АПУ обращ. и неотлож.</vt:lpstr>
      <vt:lpstr>АПУ посещ.</vt:lpstr>
      <vt:lpstr>КС</vt:lpstr>
      <vt:lpstr>ДС</vt:lpstr>
      <vt:lpstr>ВМП (по профилям и группам)</vt:lpstr>
      <vt:lpstr>Гемодиализ</vt:lpstr>
      <vt:lpstr>ЛДУ</vt:lpstr>
      <vt:lpstr>'АПУ обращ. и неотлож.'!Заголовки_для_печати</vt:lpstr>
      <vt:lpstr>'АПУ посещ.'!Заголовки_для_печати</vt:lpstr>
      <vt:lpstr>'ВМП (по профилям и группам)'!Заголовки_для_печати</vt:lpstr>
      <vt:lpstr>ДС!Заголовки_для_печати</vt:lpstr>
      <vt:lpstr>КС!Заголовки_для_печати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Ocit_3</cp:lastModifiedBy>
  <cp:lastPrinted>2018-02-13T10:29:42Z</cp:lastPrinted>
  <dcterms:created xsi:type="dcterms:W3CDTF">2018-02-13T09:26:33Z</dcterms:created>
  <dcterms:modified xsi:type="dcterms:W3CDTF">2018-04-20T06:36:48Z</dcterms:modified>
</cp:coreProperties>
</file>